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H:\Titanium Certs\"/>
    </mc:Choice>
  </mc:AlternateContent>
  <workbookProtection workbookAlgorithmName="SHA-512" workbookHashValue="3ODvpALY1x61Cvd0Oofqg97ZNd7+40fUrp7alBOJ/L1ruQ6E/ma5lVUydUoqfrQWad9IBPUQppnTUXDHO2Yr1A==" workbookSaltValue="WfJGw/J05jzXDaJ4irXs0g==" workbookSpinCount="100000" lockStructure="1"/>
  <bookViews>
    <workbookView xWindow="0" yWindow="0" windowWidth="28800" windowHeight="1230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1" i="5" l="1"/>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V6" i="5"/>
  <c r="V7" i="5"/>
  <c r="J7" i="5" s="1"/>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F69" i="6" s="1"/>
  <c r="C69" i="6" s="1"/>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s="1"/>
  <c r="V10" i="5"/>
  <c r="E10" i="5" s="1"/>
  <c r="X10" i="5" s="1"/>
  <c r="V11" i="5"/>
  <c r="E11" i="5"/>
  <c r="X11" i="5" s="1"/>
  <c r="V12" i="5"/>
  <c r="E12" i="5"/>
  <c r="X12" i="5" s="1"/>
  <c r="V13" i="5"/>
  <c r="E13" i="5"/>
  <c r="X13" i="5" s="1"/>
  <c r="V14" i="5"/>
  <c r="E14" i="5"/>
  <c r="X14" i="5" s="1"/>
  <c r="V15" i="5"/>
  <c r="E15" i="5"/>
  <c r="X15" i="5" s="1"/>
  <c r="V16" i="5"/>
  <c r="E16" i="5"/>
  <c r="X16" i="5" s="1"/>
  <c r="V17" i="5"/>
  <c r="E17" i="5"/>
  <c r="X17" i="5" s="1"/>
  <c r="V18" i="5"/>
  <c r="E18" i="5"/>
  <c r="X18" i="5" s="1"/>
  <c r="V19" i="5"/>
  <c r="V20" i="5"/>
  <c r="E20" i="5"/>
  <c r="X20" i="5" s="1"/>
  <c r="V21" i="5"/>
  <c r="E21" i="5"/>
  <c r="X21" i="5" s="1"/>
  <c r="V22" i="5"/>
  <c r="E22" i="5"/>
  <c r="X22" i="5" s="1"/>
  <c r="V23" i="5"/>
  <c r="E23" i="5"/>
  <c r="X23" i="5" s="1"/>
  <c r="V24" i="5"/>
  <c r="E24" i="5"/>
  <c r="X24" i="5" s="1"/>
  <c r="V25" i="5"/>
  <c r="E25" i="5"/>
  <c r="X25" i="5" s="1"/>
  <c r="V26" i="5"/>
  <c r="E26" i="5"/>
  <c r="X26" i="5" s="1"/>
  <c r="V27" i="5"/>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V44" i="5"/>
  <c r="E44" i="5"/>
  <c r="X44" i="5" s="1"/>
  <c r="V45" i="5"/>
  <c r="E45" i="5"/>
  <c r="X45" i="5" s="1"/>
  <c r="V46" i="5"/>
  <c r="E46" i="5"/>
  <c r="X46" i="5" s="1"/>
  <c r="V47" i="5"/>
  <c r="E47" i="5"/>
  <c r="X47" i="5" s="1"/>
  <c r="V48" i="5"/>
  <c r="E48" i="5"/>
  <c r="X48" i="5" s="1"/>
  <c r="V49" i="5"/>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V62" i="5"/>
  <c r="V63" i="5"/>
  <c r="E63" i="5"/>
  <c r="X63" i="5" s="1"/>
  <c r="V64" i="5"/>
  <c r="E64" i="5"/>
  <c r="X64" i="5" s="1"/>
  <c r="V65" i="5"/>
  <c r="E65" i="5"/>
  <c r="X65" i="5" s="1"/>
  <c r="V66" i="5"/>
  <c r="E66" i="5"/>
  <c r="X66" i="5" s="1"/>
  <c r="V67" i="5"/>
  <c r="E67" i="5"/>
  <c r="X67" i="5" s="1"/>
  <c r="V68" i="5"/>
  <c r="E68" i="5"/>
  <c r="X68" i="5" s="1"/>
  <c r="V69" i="5"/>
  <c r="E69" i="5"/>
  <c r="X69" i="5" s="1"/>
  <c r="V70" i="5"/>
  <c r="E70" i="5"/>
  <c r="X70" i="5" s="1"/>
  <c r="V71" i="5"/>
  <c r="H71" i="5"/>
  <c r="E71" i="5"/>
  <c r="X71" i="5" s="1"/>
  <c r="V72" i="5"/>
  <c r="E72" i="5"/>
  <c r="X72" i="5" s="1"/>
  <c r="V73" i="5"/>
  <c r="E73" i="5"/>
  <c r="X73" i="5" s="1"/>
  <c r="V74" i="5"/>
  <c r="E74" i="5"/>
  <c r="X74" i="5" s="1"/>
  <c r="V75" i="5"/>
  <c r="E75" i="5"/>
  <c r="X75" i="5" s="1"/>
  <c r="V76" i="5"/>
  <c r="E76" i="5"/>
  <c r="X76" i="5" s="1"/>
  <c r="V77" i="5"/>
  <c r="E77" i="5"/>
  <c r="X77" i="5" s="1"/>
  <c r="V78" i="5"/>
  <c r="V79" i="5"/>
  <c r="E79" i="5"/>
  <c r="X79" i="5" s="1"/>
  <c r="V80" i="5"/>
  <c r="E80" i="5"/>
  <c r="X80" i="5" s="1"/>
  <c r="V81" i="5"/>
  <c r="E81" i="5"/>
  <c r="X81" i="5" s="1"/>
  <c r="V82" i="5"/>
  <c r="E82" i="5"/>
  <c r="X82" i="5" s="1"/>
  <c r="V83" i="5"/>
  <c r="E83" i="5"/>
  <c r="X83" i="5" s="1"/>
  <c r="V84" i="5"/>
  <c r="E84" i="5"/>
  <c r="X84" i="5" s="1"/>
  <c r="V85" i="5"/>
  <c r="E85" i="5"/>
  <c r="X85" i="5" s="1"/>
  <c r="V86" i="5"/>
  <c r="E86" i="5"/>
  <c r="X86" i="5" s="1"/>
  <c r="V87" i="5"/>
  <c r="V88" i="5"/>
  <c r="E88" i="5"/>
  <c r="X88" i="5" s="1"/>
  <c r="V89" i="5"/>
  <c r="E89" i="5"/>
  <c r="X89" i="5" s="1"/>
  <c r="V90" i="5"/>
  <c r="E90" i="5"/>
  <c r="X90" i="5" s="1"/>
  <c r="V91" i="5"/>
  <c r="E91" i="5"/>
  <c r="X91" i="5" s="1"/>
  <c r="V92" i="5"/>
  <c r="V93" i="5"/>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V104" i="5"/>
  <c r="E104" i="5"/>
  <c r="X104" i="5" s="1"/>
  <c r="V105" i="5"/>
  <c r="E105" i="5"/>
  <c r="X105" i="5" s="1"/>
  <c r="V106" i="5"/>
  <c r="E106" i="5"/>
  <c r="X106" i="5" s="1"/>
  <c r="V107" i="5"/>
  <c r="E107" i="5"/>
  <c r="X107" i="5" s="1"/>
  <c r="V108" i="5"/>
  <c r="V109" i="5"/>
  <c r="E109" i="5"/>
  <c r="X109" i="5" s="1"/>
  <c r="V110" i="5"/>
  <c r="E110" i="5"/>
  <c r="X110" i="5" s="1"/>
  <c r="V111" i="5"/>
  <c r="E111" i="5"/>
  <c r="X111" i="5" s="1"/>
  <c r="V112" i="5"/>
  <c r="E112" i="5"/>
  <c r="X112" i="5" s="1"/>
  <c r="V113" i="5"/>
  <c r="E113" i="5"/>
  <c r="X113" i="5" s="1"/>
  <c r="V114" i="5"/>
  <c r="E114" i="5"/>
  <c r="X114" i="5" s="1"/>
  <c r="V115" i="5"/>
  <c r="V116" i="5"/>
  <c r="E116" i="5"/>
  <c r="X116" i="5" s="1"/>
  <c r="V117" i="5"/>
  <c r="V118" i="5"/>
  <c r="V119" i="5"/>
  <c r="E119" i="5"/>
  <c r="X119" i="5" s="1"/>
  <c r="V120" i="5"/>
  <c r="E120" i="5"/>
  <c r="X120" i="5" s="1"/>
  <c r="V121" i="5"/>
  <c r="V122" i="5"/>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V153" i="5"/>
  <c r="V154" i="5"/>
  <c r="E154" i="5"/>
  <c r="X154" i="5" s="1"/>
  <c r="V155" i="5"/>
  <c r="E155" i="5"/>
  <c r="X155" i="5" s="1"/>
  <c r="V156" i="5"/>
  <c r="E156" i="5"/>
  <c r="X156" i="5" s="1"/>
  <c r="V157" i="5"/>
  <c r="E157" i="5"/>
  <c r="X157" i="5" s="1"/>
  <c r="V158" i="5"/>
  <c r="E158" i="5"/>
  <c r="X158" i="5" s="1"/>
  <c r="V159" i="5"/>
  <c r="E159" i="5"/>
  <c r="X159" i="5" s="1"/>
  <c r="V160" i="5"/>
  <c r="E160" i="5"/>
  <c r="X160" i="5" s="1"/>
  <c r="V161" i="5"/>
  <c r="V162" i="5"/>
  <c r="E162" i="5"/>
  <c r="X162" i="5" s="1"/>
  <c r="V163" i="5"/>
  <c r="E163" i="5"/>
  <c r="X163" i="5" s="1"/>
  <c r="V164" i="5"/>
  <c r="E164" i="5"/>
  <c r="X164" i="5" s="1"/>
  <c r="V165" i="5"/>
  <c r="E165" i="5"/>
  <c r="X165" i="5" s="1"/>
  <c r="V166" i="5"/>
  <c r="E166" i="5"/>
  <c r="X166" i="5" s="1"/>
  <c r="V167" i="5"/>
  <c r="E167" i="5"/>
  <c r="X167" i="5" s="1"/>
  <c r="V168" i="5"/>
  <c r="E168" i="5"/>
  <c r="X168" i="5" s="1"/>
  <c r="V169" i="5"/>
  <c r="V170" i="5"/>
  <c r="V171" i="5"/>
  <c r="E171" i="5"/>
  <c r="X171" i="5" s="1"/>
  <c r="V172" i="5"/>
  <c r="E172" i="5"/>
  <c r="X172" i="5" s="1"/>
  <c r="V173" i="5"/>
  <c r="E173" i="5"/>
  <c r="X173" i="5" s="1"/>
  <c r="V174" i="5"/>
  <c r="E174" i="5"/>
  <c r="X174" i="5" s="1"/>
  <c r="V175" i="5"/>
  <c r="V176" i="5"/>
  <c r="E176" i="5"/>
  <c r="X176" i="5" s="1"/>
  <c r="V177" i="5"/>
  <c r="E177" i="5"/>
  <c r="X177" i="5" s="1"/>
  <c r="V178" i="5"/>
  <c r="E178" i="5"/>
  <c r="X178" i="5" s="1"/>
  <c r="V179" i="5"/>
  <c r="E179" i="5"/>
  <c r="X179" i="5" s="1"/>
  <c r="V180" i="5"/>
  <c r="E180" i="5"/>
  <c r="X180" i="5" s="1"/>
  <c r="V181" i="5"/>
  <c r="V182" i="5"/>
  <c r="V183" i="5"/>
  <c r="E183" i="5"/>
  <c r="X183" i="5" s="1"/>
  <c r="V184" i="5"/>
  <c r="E184" i="5"/>
  <c r="X184" i="5" s="1"/>
  <c r="V185" i="5"/>
  <c r="E185" i="5"/>
  <c r="X185" i="5" s="1"/>
  <c r="V186" i="5"/>
  <c r="E186" i="5"/>
  <c r="X186" i="5" s="1"/>
  <c r="V187" i="5"/>
  <c r="E187" i="5"/>
  <c r="X187" i="5" s="1"/>
  <c r="V188" i="5"/>
  <c r="E188" i="5"/>
  <c r="X188" i="5" s="1"/>
  <c r="V189" i="5"/>
  <c r="V190" i="5"/>
  <c r="V191" i="5"/>
  <c r="V192" i="5"/>
  <c r="E192" i="5"/>
  <c r="X192" i="5" s="1"/>
  <c r="V193" i="5"/>
  <c r="V194" i="5"/>
  <c r="V195" i="5"/>
  <c r="V196" i="5"/>
  <c r="E196" i="5"/>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G10" i="6" s="1"/>
  <c r="H10" i="6" s="1"/>
  <c r="D10" i="6" s="1"/>
  <c r="B9" i="6"/>
  <c r="B63" i="6"/>
  <c r="G63" i="6" s="1"/>
  <c r="B62" i="6"/>
  <c r="G62" i="6" s="1"/>
  <c r="B60" i="6"/>
  <c r="G60" i="6" s="1"/>
  <c r="B59" i="6"/>
  <c r="G59" i="6" s="1"/>
  <c r="B58" i="6"/>
  <c r="G58" i="6" s="1"/>
  <c r="B57" i="6"/>
  <c r="G57" i="6" s="1"/>
  <c r="B56" i="6"/>
  <c r="G56" i="6"/>
  <c r="B55" i="6"/>
  <c r="G55" i="6" s="1"/>
  <c r="B54" i="6"/>
  <c r="G54" i="6" s="1"/>
  <c r="B17" i="6"/>
  <c r="B22" i="6" s="1"/>
  <c r="B16" i="6"/>
  <c r="B15" i="6"/>
  <c r="F20" i="6" s="1"/>
  <c r="B14" i="6"/>
  <c r="G14" i="6"/>
  <c r="H14" i="6" s="1"/>
  <c r="H13" i="6"/>
  <c r="B12" i="6"/>
  <c r="G12" i="6"/>
  <c r="H12" i="6"/>
  <c r="D12" i="6"/>
  <c r="B11" i="6"/>
  <c r="G11" i="6"/>
  <c r="H11" i="6" s="1"/>
  <c r="D11" i="6" s="1"/>
  <c r="G9" i="6"/>
  <c r="H9" i="6" s="1"/>
  <c r="D9" i="6" s="1"/>
  <c r="B8" i="6"/>
  <c r="G8" i="6" s="1"/>
  <c r="H8" i="6" s="1"/>
  <c r="D8" i="6" s="1"/>
  <c r="B7" i="6"/>
  <c r="G7" i="6" s="1"/>
  <c r="H7" i="6" s="1"/>
  <c r="D7" i="6" s="1"/>
  <c r="B6" i="6"/>
  <c r="G6" i="6"/>
  <c r="B5" i="6"/>
  <c r="F6" i="6" s="1"/>
  <c r="B4" i="6"/>
  <c r="G4" i="6" s="1"/>
  <c r="H4" i="6" s="1"/>
  <c r="D4" i="6" s="1"/>
  <c r="S2492" i="5"/>
  <c r="B90" i="4"/>
  <c r="H67" i="4"/>
  <c r="P47" i="4"/>
  <c r="B47" i="4" s="1"/>
  <c r="A32" i="6" s="1"/>
  <c r="P46" i="4"/>
  <c r="P45" i="4"/>
  <c r="P44" i="4"/>
  <c r="B44" i="4" s="1"/>
  <c r="A29" i="6" s="1"/>
  <c r="P43" i="4"/>
  <c r="Q43" i="4" s="1"/>
  <c r="P41" i="4"/>
  <c r="P40" i="4"/>
  <c r="P39" i="4"/>
  <c r="B39" i="4" s="1"/>
  <c r="P38" i="4"/>
  <c r="P37" i="4"/>
  <c r="Q37" i="4" s="1"/>
  <c r="P35" i="4"/>
  <c r="P34" i="4"/>
  <c r="P33" i="4"/>
  <c r="P32" i="4"/>
  <c r="P31" i="4"/>
  <c r="Q31" i="4" s="1"/>
  <c r="P29" i="4"/>
  <c r="P28" i="4"/>
  <c r="B28" i="4" s="1"/>
  <c r="P27" i="4"/>
  <c r="B27" i="4" s="1"/>
  <c r="B33" i="4" s="1"/>
  <c r="A20" i="6" s="1"/>
  <c r="P26" i="4"/>
  <c r="B26" i="4" s="1"/>
  <c r="D11" i="4"/>
  <c r="A5" i="4"/>
  <c r="Q4" i="5"/>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H19" i="6" s="1"/>
  <c r="D19" i="6" s="1"/>
  <c r="F22" i="6"/>
  <c r="F64" i="6"/>
  <c r="G5" i="6"/>
  <c r="H5" i="6" s="1"/>
  <c r="D5" i="6" s="1"/>
  <c r="B21" i="6"/>
  <c r="B51" i="6"/>
  <c r="G51" i="6" s="1"/>
  <c r="H51" i="6" s="1"/>
  <c r="D51" i="6" s="1"/>
  <c r="G16" i="6"/>
  <c r="H16" i="6" s="1"/>
  <c r="B19" i="6"/>
  <c r="A38" i="2"/>
  <c r="J4" i="5"/>
  <c r="B41" i="4"/>
  <c r="B53" i="4" s="1"/>
  <c r="A3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43" i="4" s="1"/>
  <c r="A4" i="5"/>
  <c r="I4" i="5"/>
  <c r="I14" i="6"/>
  <c r="I15" i="6"/>
  <c r="I16" i="6"/>
  <c r="I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B41" i="6"/>
  <c r="G41" i="6" s="1"/>
  <c r="H41" i="6" s="1"/>
  <c r="D41" i="6" s="1"/>
  <c r="B31" i="6"/>
  <c r="G31" i="6" s="1"/>
  <c r="H31" i="6" s="1"/>
  <c r="D31" i="6" s="1"/>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F26" i="6"/>
  <c r="B39" i="6"/>
  <c r="G39" i="6" s="1"/>
  <c r="F24" i="6"/>
  <c r="B44" i="6"/>
  <c r="G44" i="6"/>
  <c r="B49" i="6"/>
  <c r="G49" i="6"/>
  <c r="B34" i="6"/>
  <c r="G34" i="6" s="1"/>
  <c r="B29" i="6"/>
  <c r="G29" i="6"/>
  <c r="B24" i="6"/>
  <c r="G24" i="6" s="1"/>
  <c r="H24" i="6" s="1"/>
  <c r="D24" i="6" s="1"/>
  <c r="G19" i="6"/>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H46" i="6" s="1"/>
  <c r="D46" i="6" s="1"/>
  <c r="B26" i="6"/>
  <c r="G26" i="6" s="1"/>
  <c r="H26" i="6" s="1"/>
  <c r="D26" i="6" s="1"/>
  <c r="G21" i="6"/>
  <c r="H21" i="6" s="1"/>
  <c r="D21" i="6" s="1"/>
  <c r="B36" i="6"/>
  <c r="G36" i="6" s="1"/>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F36" i="6"/>
  <c r="H36" i="6" s="1"/>
  <c r="D36" i="6" s="1"/>
  <c r="F51"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984" i="5"/>
  <c r="F984" i="5"/>
  <c r="R984" i="5"/>
  <c r="J984" i="5"/>
  <c r="I984" i="5"/>
  <c r="F44" i="6"/>
  <c r="H44" i="6" s="1"/>
  <c r="D44" i="6" s="1"/>
  <c r="F34" i="6"/>
  <c r="H34" i="6" s="1"/>
  <c r="D34" i="6" s="1"/>
  <c r="F39" i="6"/>
  <c r="H39" i="6" s="1"/>
  <c r="D39" i="6" s="1"/>
  <c r="F65" i="6"/>
  <c r="F49" i="6"/>
  <c r="F29" i="6"/>
  <c r="H29" i="6" s="1"/>
  <c r="D29" i="6" s="1"/>
  <c r="H49" i="6"/>
  <c r="D49" i="6" s="1"/>
  <c r="C2" i="6"/>
  <c r="B2" i="6"/>
  <c r="I27" i="5"/>
  <c r="E27" i="5"/>
  <c r="X27" i="5" s="1"/>
  <c r="F43" i="5"/>
  <c r="E43" i="5"/>
  <c r="X43" i="5" s="1"/>
  <c r="H87" i="5"/>
  <c r="E87" i="5"/>
  <c r="X87" i="5" s="1"/>
  <c r="F103" i="5"/>
  <c r="E103" i="5"/>
  <c r="X103" i="5" s="1"/>
  <c r="I175" i="5"/>
  <c r="E175" i="5"/>
  <c r="X175" i="5" s="1"/>
  <c r="I19" i="5"/>
  <c r="E19" i="5"/>
  <c r="X19" i="5" s="1"/>
  <c r="H115" i="5"/>
  <c r="E115" i="5"/>
  <c r="X115" i="5" s="1"/>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F7" i="5"/>
  <c r="I7" i="5"/>
  <c r="R8" i="5"/>
  <c r="J8" i="5"/>
  <c r="I8" i="5"/>
  <c r="G8" i="5"/>
  <c r="H8" i="5"/>
  <c r="F8" i="5"/>
  <c r="E8" i="5"/>
  <c r="X8" i="5" s="1"/>
  <c r="V209" i="5"/>
  <c r="G209" i="5"/>
  <c r="R379" i="5"/>
  <c r="E379" i="5"/>
  <c r="X379" i="5" s="1"/>
  <c r="H423" i="5"/>
  <c r="E423" i="5"/>
  <c r="X423" i="5" s="1"/>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G6" i="5"/>
  <c r="R6" i="5"/>
  <c r="F6" i="5"/>
  <c r="I6" i="5"/>
  <c r="H6" i="5"/>
  <c r="E6" i="5"/>
  <c r="X6" i="5" s="1"/>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AB7" i="5"/>
  <c r="AB8" i="5"/>
  <c r="AB9" i="5"/>
  <c r="AB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I9" i="5"/>
  <c r="H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E209" i="5"/>
  <c r="X209" i="5" s="1"/>
  <c r="J209" i="5"/>
  <c r="R209" i="5"/>
  <c r="F209" i="5"/>
  <c r="H209" i="5"/>
  <c r="I209" i="5"/>
  <c r="J5" i="5"/>
  <c r="H5" i="5"/>
  <c r="G5" i="5"/>
  <c r="F5" i="5"/>
  <c r="R5" i="5"/>
  <c r="E5" i="5"/>
  <c r="X5" i="5" s="1"/>
  <c r="I5"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G64" i="6" a="1"/>
  <c r="R10" i="5" l="1"/>
  <c r="F10" i="5"/>
  <c r="I10" i="5"/>
  <c r="G68" i="6"/>
  <c r="E7" i="5"/>
  <c r="X7" i="5" s="1"/>
  <c r="R7" i="5"/>
  <c r="H7" i="5"/>
  <c r="G7" i="5"/>
  <c r="X9" i="5"/>
  <c r="G69" i="6" a="1"/>
  <c r="G69" i="6" s="1"/>
  <c r="H69" i="6" s="1"/>
  <c r="F9" i="5"/>
  <c r="H9" i="5"/>
  <c r="R9" i="5"/>
  <c r="G9" i="5"/>
  <c r="J9" i="5"/>
  <c r="G67" i="6"/>
  <c r="H67" i="6" s="1"/>
  <c r="D67" i="6" s="1"/>
  <c r="G65" i="6"/>
  <c r="H65" i="6" s="1"/>
  <c r="D65" i="6" s="1"/>
  <c r="G66" i="6"/>
  <c r="G74" i="4"/>
  <c r="B52" i="6"/>
  <c r="G52" i="6" s="1"/>
  <c r="B42" i="6"/>
  <c r="G42" i="6" s="1"/>
  <c r="F27" i="6"/>
  <c r="B37" i="6"/>
  <c r="G37" i="6" s="1"/>
  <c r="G22" i="6"/>
  <c r="H22" i="6" s="1"/>
  <c r="B47" i="6"/>
  <c r="G47" i="6" s="1"/>
  <c r="B27" i="6"/>
  <c r="G27" i="6" s="1"/>
  <c r="B32" i="6"/>
  <c r="G32" i="6" s="1"/>
  <c r="A24" i="6"/>
  <c r="C12" i="6"/>
  <c r="B56" i="4"/>
  <c r="A39" i="6" s="1"/>
  <c r="G17" i="6"/>
  <c r="H17" i="6" s="1"/>
  <c r="B34" i="4"/>
  <c r="A21" i="6" s="1"/>
  <c r="A16" i="6"/>
  <c r="D16" i="6"/>
  <c r="K67" i="6"/>
  <c r="C36" i="6"/>
  <c r="C46" i="6"/>
  <c r="C51" i="6"/>
  <c r="C16" i="6"/>
  <c r="C21" i="6"/>
  <c r="C41" i="6"/>
  <c r="C31" i="6"/>
  <c r="C26" i="6"/>
  <c r="B57" i="4"/>
  <c r="A40" i="6" s="1"/>
  <c r="B69" i="4"/>
  <c r="A50" i="6" s="1"/>
  <c r="B31" i="4"/>
  <c r="A18" i="6" s="1"/>
  <c r="B79" i="4"/>
  <c r="A57" i="6" s="1"/>
  <c r="B85" i="4"/>
  <c r="A60" i="6" s="1"/>
  <c r="B89" i="4"/>
  <c r="A63" i="6" s="1"/>
  <c r="C15" i="6"/>
  <c r="G15" i="6"/>
  <c r="H15" i="6" s="1"/>
  <c r="B20" i="6"/>
  <c r="G20" i="6" s="1"/>
  <c r="H20" i="6" s="1"/>
  <c r="D14" i="6"/>
  <c r="K65" i="6"/>
  <c r="C39" i="6"/>
  <c r="C44" i="6"/>
  <c r="C24" i="6"/>
  <c r="B49" i="4"/>
  <c r="A33" i="6" s="1"/>
  <c r="B61" i="4"/>
  <c r="A43" i="6" s="1"/>
  <c r="B77" i="4"/>
  <c r="A55" i="6" s="1"/>
  <c r="B43" i="4"/>
  <c r="A28" i="6" s="1"/>
  <c r="C14" i="6"/>
  <c r="B83" i="4"/>
  <c r="A59" i="6" s="1"/>
  <c r="B67" i="4"/>
  <c r="A48" i="6" s="1"/>
  <c r="C49" i="6"/>
  <c r="C29" i="6"/>
  <c r="B55" i="4"/>
  <c r="A38" i="6" s="1"/>
  <c r="C34" i="6"/>
  <c r="B81" i="4"/>
  <c r="A58" i="6" s="1"/>
  <c r="B37" i="4"/>
  <c r="A23" i="6" s="1"/>
  <c r="B75" i="4"/>
  <c r="A54" i="6" s="1"/>
  <c r="C19" i="6"/>
  <c r="B87" i="4"/>
  <c r="A62" i="6" s="1"/>
  <c r="B35" i="4"/>
  <c r="A22" i="6" s="1"/>
  <c r="B68" i="4"/>
  <c r="A49" i="6" s="1"/>
  <c r="B62" i="4"/>
  <c r="A44" i="6" s="1"/>
  <c r="D74" i="4"/>
  <c r="D67" i="4"/>
  <c r="C11" i="6"/>
  <c r="D37" i="4"/>
  <c r="D55" i="4"/>
  <c r="D61" i="4"/>
  <c r="D31" i="4"/>
  <c r="D43" i="4"/>
  <c r="C10" i="6"/>
  <c r="G49" i="4"/>
  <c r="C9" i="6"/>
  <c r="C8" i="6"/>
  <c r="C7" i="6"/>
  <c r="A15" i="6"/>
  <c r="B59" i="4"/>
  <c r="A42" i="6" s="1"/>
  <c r="B63" i="4"/>
  <c r="A45" i="6" s="1"/>
  <c r="B51" i="4"/>
  <c r="A35" i="6" s="1"/>
  <c r="A25" i="6"/>
  <c r="B64" i="4"/>
  <c r="A46" i="6" s="1"/>
  <c r="B52" i="4"/>
  <c r="A36" i="6" s="1"/>
  <c r="H6" i="6"/>
  <c r="D6" i="6" s="1"/>
  <c r="G67" i="4"/>
  <c r="G61" i="4"/>
  <c r="B65" i="4"/>
  <c r="A47" i="6" s="1"/>
  <c r="A27" i="6"/>
  <c r="B71" i="4"/>
  <c r="A52" i="6" s="1"/>
  <c r="G37" i="4"/>
  <c r="G31" i="4"/>
  <c r="G55" i="4"/>
  <c r="C5" i="6"/>
  <c r="C4" i="6"/>
  <c r="G64" i="6"/>
  <c r="A14" i="6"/>
  <c r="B32" i="4"/>
  <c r="A19" i="6" s="1"/>
  <c r="A26" i="6"/>
  <c r="B70" i="4"/>
  <c r="A51" i="6" s="1"/>
  <c r="B58" i="4"/>
  <c r="A41" i="6" s="1"/>
  <c r="S6" i="5"/>
  <c r="S9" i="5"/>
  <c r="S5" i="5"/>
  <c r="S8" i="5"/>
  <c r="S10" i="5"/>
  <c r="C67" i="6" l="1"/>
  <c r="C65" i="6"/>
  <c r="B50" i="6"/>
  <c r="G50" i="6" s="1"/>
  <c r="B35" i="6"/>
  <c r="G35" i="6" s="1"/>
  <c r="B25" i="6"/>
  <c r="G25" i="6" s="1"/>
  <c r="D22" i="6"/>
  <c r="C22" i="6"/>
  <c r="H27" i="6"/>
  <c r="F42" i="6"/>
  <c r="H42" i="6" s="1"/>
  <c r="F68" i="6"/>
  <c r="H68" i="6" s="1"/>
  <c r="F32" i="6"/>
  <c r="H32" i="6" s="1"/>
  <c r="F47" i="6"/>
  <c r="H47" i="6" s="1"/>
  <c r="F52" i="6"/>
  <c r="H52" i="6" s="1"/>
  <c r="F37" i="6"/>
  <c r="H37" i="6" s="1"/>
  <c r="D17" i="6"/>
  <c r="K68" i="6"/>
  <c r="C17" i="6"/>
  <c r="D20" i="6"/>
  <c r="C20" i="6"/>
  <c r="F25" i="6"/>
  <c r="B40" i="6"/>
  <c r="G40" i="6" s="1"/>
  <c r="B45" i="6"/>
  <c r="G45" i="6" s="1"/>
  <c r="D15" i="6"/>
  <c r="K66" i="6"/>
  <c r="B30" i="6"/>
  <c r="G30" i="6" s="1"/>
  <c r="C6" i="6"/>
  <c r="H64" i="6"/>
  <c r="B64" i="6"/>
  <c r="T10" i="5"/>
  <c r="T9" i="5"/>
  <c r="T8" i="5"/>
  <c r="S7" i="5"/>
  <c r="T6" i="5"/>
  <c r="T5" i="5"/>
  <c r="D68" i="6" l="1"/>
  <c r="C68" i="6"/>
  <c r="D52" i="6"/>
  <c r="C52" i="6"/>
  <c r="D42" i="6"/>
  <c r="C42" i="6"/>
  <c r="D47" i="6"/>
  <c r="C47" i="6"/>
  <c r="D27" i="6"/>
  <c r="C27" i="6"/>
  <c r="D32" i="6"/>
  <c r="C32" i="6"/>
  <c r="D37" i="6"/>
  <c r="C37" i="6"/>
  <c r="F40" i="6"/>
  <c r="H40" i="6" s="1"/>
  <c r="F66" i="6"/>
  <c r="H66" i="6" s="1"/>
  <c r="F30" i="6"/>
  <c r="H30" i="6" s="1"/>
  <c r="F45" i="6"/>
  <c r="H45" i="6" s="1"/>
  <c r="F50" i="6"/>
  <c r="H50" i="6" s="1"/>
  <c r="H25" i="6"/>
  <c r="F54" i="6"/>
  <c r="F35" i="6"/>
  <c r="H35" i="6" s="1"/>
  <c r="D64" i="6"/>
  <c r="C64" i="6"/>
  <c r="T7" i="5"/>
  <c r="D66" i="6" l="1"/>
  <c r="C66" i="6"/>
  <c r="D35" i="6"/>
  <c r="C35" i="6"/>
  <c r="D45" i="6"/>
  <c r="C45" i="6"/>
  <c r="F62" i="6"/>
  <c r="H62" i="6" s="1"/>
  <c r="F59" i="6"/>
  <c r="H59" i="6" s="1"/>
  <c r="F63" i="6"/>
  <c r="H63" i="6" s="1"/>
  <c r="F57" i="6"/>
  <c r="H57" i="6" s="1"/>
  <c r="F58" i="6"/>
  <c r="H58" i="6" s="1"/>
  <c r="F55" i="6"/>
  <c r="F60" i="6"/>
  <c r="H60" i="6" s="1"/>
  <c r="H54" i="6"/>
  <c r="D30" i="6"/>
  <c r="C30" i="6"/>
  <c r="D25" i="6"/>
  <c r="C25" i="6"/>
  <c r="D50" i="6"/>
  <c r="C50" i="6"/>
  <c r="D40" i="6"/>
  <c r="C40" i="6"/>
  <c r="H55" i="6" l="1"/>
  <c r="F56" i="6"/>
  <c r="H56" i="6" s="1"/>
  <c r="D59" i="6"/>
  <c r="C59" i="6"/>
  <c r="D58" i="6"/>
  <c r="C58" i="6"/>
  <c r="D62" i="6"/>
  <c r="C62" i="6"/>
  <c r="D54" i="6"/>
  <c r="C54" i="6"/>
  <c r="D57" i="6"/>
  <c r="C57" i="6"/>
  <c r="D60" i="6"/>
  <c r="C60" i="6"/>
  <c r="D63" i="6"/>
  <c r="C63" i="6"/>
  <c r="D56" i="6" l="1"/>
  <c r="C56" i="6"/>
  <c r="D55" i="6"/>
  <c r="C55" i="6"/>
  <c r="H70" i="6"/>
  <c r="D2" i="6" s="1"/>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<sst xmlns="http://schemas.openxmlformats.org/spreadsheetml/2006/main" count="22571" uniqueCount="15898">
  <si>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</si>
  <si>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</si>
  <si>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</si>
  <si>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</si>
  <si>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</si>
  <si>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</si>
  <si>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</si>
  <si>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</si>
  <si>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</si>
  <si>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</si>
  <si>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</si>
  <si>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</si>
  <si>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</si>
  <si>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</si>
  <si>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</si>
  <si>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</si>
  <si>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</si>
  <si>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</si>
  <si>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</si>
  <si>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</si>
  <si>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</si>
  <si>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</si>
  <si>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</si>
  <si>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</si>
  <si>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</si>
  <si>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</si>
  <si>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</si>
  <si>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</si>
  <si>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</si>
  <si>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</si>
  <si>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</si>
  <si>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</si>
  <si>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</si>
  <si>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</si>
  <si>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</si>
  <si>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</si>
  <si>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</si>
  <si>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</si>
  <si>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</si>
  <si>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</si>
  <si>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</si>
  <si>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</si>
  <si>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</si>
  <si>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</si>
  <si>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</si>
  <si>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</si>
  <si>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</si>
  <si>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</si>
  <si>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</si>
  <si>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</si>
  <si>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</si>
  <si>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</si>
  <si>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</si>
  <si>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</si>
  <si>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</si>
  <si>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</si>
  <si>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</si>
  <si>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</si>
  <si>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</si>
  <si>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</si>
  <si>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</si>
  <si>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</si>
  <si>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</si>
  <si>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</si>
  <si>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</si>
  <si>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</si>
  <si>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</si>
  <si>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</si>
  <si>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</si>
  <si>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</si>
  <si>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</si>
  <si>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</si>
  <si>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</si>
  <si>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</si>
  <si>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</si>
  <si>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</si>
  <si>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</si>
  <si>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</si>
  <si>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</si>
  <si>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</si>
  <si>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</si>
  <si>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</si>
  <si>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</si>
  <si>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</si>
  <si>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</si>
  <si>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</si>
  <si>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</si>
  <si>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</si>
  <si>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</si>
  <si>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</si>
  <si>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</si>
  <si>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</si>
  <si>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</si>
  <si>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</si>
  <si>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</si>
  <si>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</si>
  <si>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</si>
  <si>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</si>
  <si>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</si>
  <si>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</si>
  <si>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</si>
  <si>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</si>
  <si>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</si>
  <si>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</si>
  <si>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</si>
  <si>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</si>
  <si>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</si>
  <si>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</si>
  <si>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</si>
  <si>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</si>
  <si>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</si>
  <si>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</si>
  <si>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</si>
  <si>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</si>
  <si>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</si>
  <si>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</si>
  <si>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</si>
  <si>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</si>
  <si>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</si>
  <si>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</si>
  <si>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</si>
  <si>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</si>
  <si>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</si>
  <si>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</si>
  <si>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</si>
  <si>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</si>
  <si>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</si>
  <si>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</si>
  <si>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</si>
  <si>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</si>
  <si>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</si>
  <si>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</si>
  <si>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</si>
  <si>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</si>
  <si>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</si>
  <si>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</si>
  <si>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</si>
  <si>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</si>
  <si>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</si>
  <si>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</si>
  <si>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</si>
  <si>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</si>
  <si>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</si>
  <si>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</si>
  <si>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</si>
  <si>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</si>
  <si>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</si>
  <si>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</si>
  <si>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</si>
  <si>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</si>
  <si>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</si>
  <si>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</si>
  <si>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</si>
  <si>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</si>
  <si>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</si>
  <si>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</si>
  <si>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</si>
  <si>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</si>
  <si>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</si>
  <si>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</si>
  <si>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</si>
  <si>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</si>
  <si>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</si>
  <si>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</si>
  <si>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</si>
  <si>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</si>
  <si>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</si>
  <si>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</si>
  <si>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</si>
  <si>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</si>
  <si>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</si>
  <si>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</si>
  <si>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</si>
  <si>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</si>
  <si>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</si>
  <si>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</si>
  <si>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</si>
  <si>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</si>
  <si>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</si>
  <si>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</si>
  <si>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</si>
  <si>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</si>
  <si>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</si>
  <si>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</si>
  <si>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</si>
  <si>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</si>
  <si>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</si>
  <si>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</si>
  <si>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</si>
  <si>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</si>
  <si>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</si>
  <si>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</si>
  <si>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</si>
  <si>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</si>
  <si>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</si>
  <si>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</si>
  <si>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</si>
  <si>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</si>
  <si>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</si>
  <si>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</si>
  <si>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</si>
  <si>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</si>
  <si>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</si>
  <si>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</si>
  <si>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</si>
  <si>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</si>
  <si>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</si>
  <si>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</si>
  <si>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</si>
  <si>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</si>
  <si>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</si>
  <si>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</si>
  <si>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</si>
  <si>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</si>
  <si>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</si>
  <si>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</si>
  <si>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</si>
  <si>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</si>
  <si>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</si>
  <si>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</si>
  <si>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</si>
  <si>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</si>
  <si>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</si>
  <si>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</si>
  <si>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</si>
  <si>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</si>
  <si>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</si>
  <si>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</si>
  <si>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</si>
  <si>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</si>
  <si>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</si>
  <si>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</si>
  <si>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</si>
  <si>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</si>
  <si>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</si>
  <si>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</si>
  <si>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</si>
  <si>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</si>
  <si>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</si>
  <si>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</si>
  <si>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</si>
  <si>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</si>
  <si>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</si>
  <si>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</si>
  <si>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</si>
  <si>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</si>
  <si>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</si>
  <si>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</si>
  <si>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</si>
  <si>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</si>
  <si>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</si>
  <si>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</si>
  <si>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</si>
  <si>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</si>
  <si>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</si>
  <si>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</si>
  <si>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</si>
  <si>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</si>
  <si>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</si>
  <si>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</si>
  <si>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</si>
  <si>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</si>
  <si>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</si>
  <si>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</si>
  <si>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</si>
  <si>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</si>
  <si>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</si>
  <si>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</si>
  <si>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</si>
  <si>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</si>
  <si>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</si>
  <si>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</si>
  <si>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</si>
  <si>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</si>
  <si>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</si>
  <si>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</si>
  <si>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</si>
  <si>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</si>
  <si>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</si>
  <si>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</si>
  <si>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</si>
  <si>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</si>
  <si>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</si>
  <si>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</si>
  <si>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</si>
  <si>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</si>
  <si>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</si>
  <si>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</si>
  <si>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</si>
  <si>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</si>
  <si>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</si>
  <si>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</si>
  <si>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</si>
  <si>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</si>
  <si>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</si>
  <si>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</si>
  <si>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</si>
  <si>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</si>
  <si>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</si>
  <si>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</si>
  <si>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</si>
  <si>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</si>
  <si>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</si>
  <si>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</si>
  <si>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</si>
  <si>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</si>
  <si>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</si>
  <si>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</si>
  <si>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</si>
  <si>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</si>
  <si>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</si>
  <si>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</si>
  <si>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</si>
  <si>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</si>
  <si>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</si>
  <si>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</si>
  <si>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</si>
  <si>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</si>
  <si>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</si>
  <si>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</si>
  <si>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</si>
  <si>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</si>
  <si>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</si>
  <si>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</si>
  <si>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</si>
  <si>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</si>
  <si>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</si>
  <si>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</si>
  <si>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</si>
  <si>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</si>
  <si>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</si>
  <si>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</si>
  <si>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</si>
  <si>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</si>
  <si>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</si>
  <si>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</si>
  <si>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</si>
  <si>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</si>
  <si>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</si>
  <si>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</si>
  <si>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</si>
  <si>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</si>
  <si>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</si>
  <si>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</si>
  <si>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</si>
  <si>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</si>
  <si>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</si>
  <si>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</si>
  <si>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</si>
  <si>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</si>
  <si>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</si>
  <si>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</si>
  <si>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</si>
  <si>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</si>
  <si>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</si>
  <si>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</si>
  <si>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</si>
  <si>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</si>
  <si>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</si>
  <si>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</si>
  <si>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</si>
  <si>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</si>
  <si>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</si>
  <si>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</si>
  <si>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</si>
  <si>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</si>
  <si>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</si>
  <si>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</si>
  <si>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</si>
  <si>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</si>
  <si>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</si>
  <si>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</si>
  <si>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</si>
  <si>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</si>
  <si>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</si>
  <si>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</si>
  <si>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</si>
  <si>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</si>
  <si>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</si>
  <si>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</si>
  <si>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</si>
  <si>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</si>
  <si>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</si>
  <si>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</si>
  <si>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</si>
  <si>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</si>
  <si>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</si>
  <si>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</si>
  <si>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</si>
  <si>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</si>
  <si>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</si>
  <si>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</si>
  <si>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</si>
  <si>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</si>
  <si>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</si>
  <si>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</si>
  <si>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</si>
  <si>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</si>
  <si>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</si>
  <si>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</si>
  <si>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</si>
  <si>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</si>
  <si>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</si>
  <si>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</si>
  <si>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</si>
  <si>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</si>
  <si>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</si>
  <si>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</si>
  <si>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</si>
  <si>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</si>
  <si>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</si>
  <si>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</si>
  <si>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</si>
  <si>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</si>
  <si>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</si>
  <si>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</si>
  <si>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</si>
  <si>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</si>
  <si>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</si>
  <si>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</si>
  <si>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</si>
  <si>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</si>
  <si>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</si>
  <si>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</si>
  <si>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</si>
  <si>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</si>
  <si>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</si>
  <si>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</si>
  <si>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</si>
  <si>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</si>
  <si>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</si>
  <si>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</si>
  <si>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</si>
  <si>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</si>
  <si>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</si>
  <si>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</si>
  <si>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</si>
  <si>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</si>
  <si>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</si>
  <si>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</si>
  <si>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</si>
  <si>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</si>
  <si>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</si>
  <si>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</si>
  <si>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</si>
  <si>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</si>
  <si>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</si>
  <si>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</si>
  <si>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</si>
  <si>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</si>
  <si>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</si>
  <si>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</si>
  <si>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</si>
  <si>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</si>
  <si>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</si>
  <si>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</si>
  <si>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</si>
  <si>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</si>
  <si>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</si>
  <si>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</si>
  <si>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</si>
  <si>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</si>
  <si>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</si>
  <si>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</si>
  <si>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</si>
  <si>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</si>
  <si>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</si>
  <si>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</si>
  <si>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</si>
  <si>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</si>
  <si>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</si>
  <si>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</si>
  <si>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</si>
  <si>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</si>
  <si>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</si>
  <si>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</si>
  <si>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</si>
  <si>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</si>
  <si>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</si>
  <si>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</si>
  <si>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</si>
  <si>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</si>
  <si>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</si>
  <si>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</si>
  <si>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</si>
  <si>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</si>
  <si>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</si>
  <si>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</si>
  <si>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</si>
  <si>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</si>
  <si>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</si>
  <si>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</si>
  <si>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</si>
  <si>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</si>
  <si>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</si>
  <si>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</si>
  <si>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</si>
  <si>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</si>
  <si>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</si>
  <si>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</si>
  <si>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</si>
  <si>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</si>
  <si>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</si>
  <si>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</si>
  <si>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</si>
  <si>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</si>
  <si>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</si>
  <si>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</si>
  <si>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</si>
  <si>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</si>
  <si>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</si>
  <si>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</si>
  <si>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</si>
  <si>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</si>
  <si>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</si>
  <si>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</si>
  <si>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</si>
  <si>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</si>
  <si>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</si>
  <si>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</si>
  <si>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</si>
  <si>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</si>
  <si>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</si>
  <si>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</si>
  <si>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</si>
  <si>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</si>
  <si>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</si>
  <si>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</si>
  <si>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</si>
  <si>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</si>
  <si>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</si>
  <si>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</si>
  <si>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</si>
  <si>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</si>
  <si>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</si>
  <si>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</si>
  <si>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</si>
  <si>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</si>
  <si>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</si>
  <si>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</si>
  <si>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</si>
  <si>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</si>
  <si>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</si>
  <si>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</si>
  <si>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</si>
  <si>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</si>
  <si>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</si>
  <si>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</si>
  <si>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</si>
  <si>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</si>
  <si>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</si>
  <si>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</si>
  <si>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</si>
  <si>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</si>
  <si>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</si>
  <si>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</si>
  <si>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</si>
  <si>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</si>
  <si>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</si>
  <si>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</si>
  <si>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</si>
  <si>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</si>
  <si>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</si>
  <si>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</si>
  <si>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</si>
  <si>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</si>
  <si>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</si>
  <si>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</si>
  <si>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</si>
  <si>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</si>
  <si>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</si>
  <si>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</si>
  <si>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</si>
  <si>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</si>
  <si>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</si>
  <si>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</si>
  <si>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</si>
  <si>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</si>
  <si>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</si>
  <si>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</si>
  <si>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</si>
  <si>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</si>
  <si>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</si>
  <si>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</si>
  <si>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</si>
  <si>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</si>
  <si>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</si>
  <si>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</si>
  <si>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</si>
  <si>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</si>
  <si>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</si>
  <si>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</si>
  <si>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</si>
  <si>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</si>
  <si>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</si>
  <si>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</si>
  <si>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</si>
  <si>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</si>
  <si>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</si>
  <si>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</si>
  <si>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</si>
  <si>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</si>
  <si>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</si>
  <si>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</si>
  <si>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</si>
  <si>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</si>
  <si>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</si>
  <si>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</si>
  <si>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</si>
  <si>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</si>
  <si>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</si>
  <si>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</si>
  <si>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</si>
  <si>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</si>
  <si>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</si>
  <si>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</si>
  <si>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</si>
  <si>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</si>
  <si>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</si>
  <si>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</si>
  <si>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</si>
  <si>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</si>
  <si>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</si>
  <si>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</si>
  <si>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</si>
  <si>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</si>
  <si>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</si>
  <si>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</si>
  <si>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</si>
  <si>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</si>
  <si>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</si>
  <si>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</si>
  <si>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</si>
  <si>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</si>
  <si>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</si>
  <si>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</si>
  <si>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</si>
  <si>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</si>
  <si>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</si>
  <si>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</si>
  <si>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</si>
  <si>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</si>
  <si>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</si>
  <si>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</si>
  <si>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</si>
  <si>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</si>
  <si>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</si>
  <si>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</si>
  <si>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</si>
  <si>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</si>
  <si>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</si>
  <si>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</si>
  <si>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</si>
  <si>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</si>
  <si>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</si>
  <si>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</si>
  <si>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</si>
  <si>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</si>
  <si>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</si>
  <si>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</si>
  <si>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</si>
  <si>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</si>
  <si>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</si>
  <si>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</si>
  <si>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</si>
  <si>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</si>
  <si>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</si>
  <si>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</si>
  <si>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</si>
  <si>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</si>
  <si>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</si>
  <si>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</si>
  <si>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</si>
  <si>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</si>
  <si>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</si>
  <si>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</si>
  <si>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</si>
  <si>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</si>
  <si>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</si>
  <si>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</si>
  <si>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</si>
  <si>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</si>
  <si>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</si>
  <si>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</si>
  <si>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</si>
  <si>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</si>
  <si>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</si>
  <si>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</si>
  <si>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</si>
  <si>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</si>
  <si>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</si>
  <si>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</si>
  <si>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</si>
  <si>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</si>
  <si>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</si>
  <si>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</si>
  <si>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</si>
  <si>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</si>
  <si>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</si>
  <si>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</si>
  <si>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</si>
  <si>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</si>
  <si>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</si>
  <si>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</si>
  <si>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</si>
  <si>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</si>
  <si>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</si>
  <si>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</si>
  <si>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</si>
  <si>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</si>
  <si>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</si>
  <si>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</si>
  <si>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</si>
  <si>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</si>
  <si>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</si>
  <si>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</si>
  <si>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</si>
  <si>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</si>
  <si>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</si>
  <si>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</si>
  <si>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</si>
  <si>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</si>
  <si>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</si>
  <si>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</si>
  <si>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</si>
  <si>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</si>
  <si>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</si>
  <si>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</si>
  <si>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</si>
  <si>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</si>
  <si>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</si>
  <si>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</si>
  <si>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</si>
  <si>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</si>
  <si>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</si>
  <si>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</si>
  <si>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</si>
  <si>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</si>
  <si>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</si>
  <si>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</si>
  <si>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</si>
  <si>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</si>
  <si>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</si>
  <si>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</si>
  <si>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</si>
  <si>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</si>
  <si>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</si>
  <si>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</si>
  <si>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</si>
  <si>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</si>
  <si>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</si>
  <si>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</si>
  <si>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</si>
  <si>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</si>
  <si>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</si>
  <si>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</si>
  <si>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</si>
  <si>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</si>
  <si>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</si>
  <si>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</si>
  <si>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</si>
  <si>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</si>
  <si>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</si>
  <si>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</si>
  <si>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</si>
  <si>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</si>
  <si>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</si>
  <si>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</si>
  <si>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</si>
  <si>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</si>
  <si>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</si>
  <si>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</si>
  <si>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</si>
  <si>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</si>
  <si>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</si>
  <si>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</si>
  <si>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</si>
  <si>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</si>
  <si>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</si>
  <si>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</si>
  <si>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</si>
  <si>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</si>
  <si>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</si>
  <si>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</si>
  <si>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</si>
  <si>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</si>
  <si>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</si>
  <si>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</si>
  <si>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</si>
  <si>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</si>
  <si>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</si>
  <si>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</si>
  <si>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</si>
  <si>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</si>
  <si>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</si>
  <si>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</si>
  <si>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</si>
  <si>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</si>
  <si>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</si>
  <si>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</si>
  <si>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</si>
  <si>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</si>
  <si>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</si>
  <si>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</si>
  <si>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</si>
  <si>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</si>
  <si>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</si>
  <si>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</si>
  <si>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</si>
  <si>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</si>
  <si>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</si>
  <si>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</si>
  <si>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</si>
  <si>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</si>
  <si>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</si>
  <si>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</si>
  <si>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</si>
  <si>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</si>
  <si>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</si>
  <si>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</si>
  <si>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</si>
  <si>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</si>
  <si>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</si>
  <si>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</si>
  <si>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</si>
  <si>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</si>
  <si>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</si>
  <si>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</si>
  <si>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</si>
  <si>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</si>
  <si>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</si>
  <si>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</si>
  <si>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</si>
  <si>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</si>
  <si>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</si>
  <si>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</si>
  <si>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</si>
  <si>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</si>
  <si>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</si>
  <si>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</si>
  <si>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</si>
  <si>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</si>
  <si>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</si>
  <si>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</si>
  <si>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</si>
  <si>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</si>
  <si>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</si>
  <si>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</si>
  <si>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</si>
  <si>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</si>
  <si>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</si>
  <si>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</si>
  <si>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</si>
  <si>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</si>
  <si>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</si>
  <si>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</si>
  <si>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</si>
  <si>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</si>
  <si>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</si>
  <si>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</si>
  <si>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</si>
  <si>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</si>
  <si>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</si>
  <si>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</si>
  <si>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</si>
  <si>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</si>
  <si>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</si>
  <si>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</si>
  <si>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</si>
  <si>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</si>
  <si>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</si>
  <si>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</si>
  <si>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</si>
  <si>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</si>
  <si>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</si>
  <si>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</si>
  <si>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</si>
  <si>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</si>
  <si>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</si>
  <si>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</si>
  <si>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</si>
  <si>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</si>
  <si>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</si>
  <si>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</si>
  <si>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</si>
  <si>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</si>
  <si>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</si>
  <si>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</si>
  <si>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</si>
  <si>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</si>
  <si>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</si>
  <si>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</si>
  <si>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</si>
  <si>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</si>
  <si>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</si>
  <si>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</si>
  <si>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</si>
  <si>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</si>
  <si>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</si>
  <si>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</si>
  <si>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</si>
  <si>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</si>
  <si>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</si>
  <si>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</si>
  <si>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</si>
  <si>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</si>
  <si>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</si>
  <si>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</si>
  <si>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</si>
  <si>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</si>
  <si>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</si>
  <si>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</si>
  <si>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</si>
  <si>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</si>
  <si>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</si>
  <si>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</si>
  <si>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</si>
  <si>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</si>
  <si>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</si>
  <si>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</si>
  <si>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</si>
  <si>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</si>
  <si>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</si>
  <si>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</si>
  <si>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</si>
  <si>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</si>
  <si>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</si>
  <si>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</si>
  <si>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</si>
  <si>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</si>
  <si>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</si>
  <si>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</si>
  <si>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</si>
  <si>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</si>
  <si>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</si>
  <si>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</si>
  <si>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</si>
  <si>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</si>
  <si>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</si>
  <si>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</si>
  <si>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</si>
  <si>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</si>
  <si>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</si>
  <si>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</si>
  <si>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</si>
  <si>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</si>
  <si>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</si>
  <si>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</si>
  <si>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</si>
  <si>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</si>
  <si>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</si>
  <si>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</si>
  <si>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</si>
  <si>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</si>
  <si>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</si>
  <si>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</si>
  <si>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</si>
  <si>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</si>
  <si>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</si>
  <si>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</si>
  <si>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</si>
  <si>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</si>
  <si>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</si>
  <si>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</si>
  <si>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</si>
  <si>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</si>
  <si>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</si>
  <si>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</si>
  <si>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</si>
  <si>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</si>
  <si>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</si>
  <si>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</si>
  <si>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</si>
  <si>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</si>
  <si>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</si>
  <si>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</si>
  <si>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</si>
  <si>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</si>
  <si>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</si>
  <si>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</si>
  <si>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</si>
  <si>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</si>
  <si>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</si>
  <si>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</si>
  <si>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</si>
  <si>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</si>
  <si>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</si>
  <si>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</si>
  <si>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</si>
  <si>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</si>
  <si>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</si>
  <si>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</si>
  <si>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</si>
  <si>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</si>
  <si>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</si>
  <si>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</si>
  <si>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</si>
  <si>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</si>
  <si>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</si>
  <si>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</si>
  <si>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</si>
  <si>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</si>
  <si>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</si>
  <si>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</si>
  <si>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</si>
  <si>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</si>
  <si>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</si>
  <si>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</si>
  <si>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</si>
  <si>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</si>
  <si>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</si>
  <si>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</si>
  <si>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</si>
  <si>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</si>
  <si>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</si>
  <si>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</si>
  <si>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</si>
  <si>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</si>
  <si>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</si>
  <si>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</si>
  <si>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</si>
  <si>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</si>
  <si>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</si>
  <si>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</si>
  <si>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</si>
  <si>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</si>
  <si>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</si>
  <si>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</si>
  <si>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</si>
  <si>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</si>
  <si>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</si>
  <si>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</si>
  <si>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</si>
  <si>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</si>
  <si>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</si>
  <si>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</si>
  <si>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</si>
  <si>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</si>
  <si>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</si>
  <si>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</si>
  <si>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</si>
  <si>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</si>
  <si>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</si>
  <si>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</si>
  <si>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</si>
  <si>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</si>
  <si>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</si>
  <si>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</si>
  <si>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</si>
  <si>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</si>
  <si>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</si>
  <si>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</si>
  <si>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</si>
  <si>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</si>
  <si>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</si>
  <si>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</si>
  <si>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</si>
  <si>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</si>
  <si>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</si>
  <si>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</si>
  <si>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</si>
  <si>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</si>
  <si>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</si>
  <si>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</si>
  <si>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</si>
  <si>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</si>
  <si>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</si>
  <si>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</si>
  <si>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</si>
  <si>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</si>
  <si>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</si>
  <si>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</si>
  <si>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</si>
  <si>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</si>
  <si>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</si>
  <si>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</si>
  <si>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</si>
  <si>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</si>
  <si>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</si>
  <si>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</si>
  <si>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</si>
  <si>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</si>
  <si>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</si>
  <si>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</si>
  <si>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</si>
  <si>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</si>
  <si>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</si>
  <si>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</si>
  <si>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</si>
  <si>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</si>
  <si>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</si>
  <si>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</si>
  <si>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</si>
  <si>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</si>
  <si>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</si>
  <si>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</si>
  <si>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</si>
  <si>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</si>
  <si>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</si>
  <si>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</si>
  <si>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</si>
  <si>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</si>
  <si>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</si>
  <si>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</si>
  <si>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</si>
  <si>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</si>
  <si>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</si>
  <si>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</si>
  <si>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</si>
  <si>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</si>
  <si>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</si>
  <si>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</si>
  <si>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</si>
  <si>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</si>
  <si>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</si>
  <si>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</si>
  <si>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</si>
  <si>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</si>
  <si>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</si>
  <si>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</si>
  <si>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</si>
  <si>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</si>
  <si>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</si>
  <si>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</si>
  <si>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</si>
  <si>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</si>
  <si>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</si>
  <si>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</si>
  <si>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</si>
  <si>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</si>
  <si>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</si>
  <si>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</si>
  <si>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</si>
  <si>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</si>
  <si>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</si>
  <si>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</si>
  <si>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</si>
  <si>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</si>
  <si>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</si>
  <si>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</si>
  <si>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</si>
  <si>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</si>
  <si>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</si>
  <si>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</si>
  <si>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</si>
  <si>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</si>
  <si>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</si>
  <si>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</si>
  <si>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</si>
  <si>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</si>
  <si>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</si>
  <si>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</si>
  <si>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</si>
  <si>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</si>
  <si>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</si>
  <si>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</si>
  <si>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</si>
  <si>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</si>
  <si>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</si>
  <si>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</si>
  <si>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</si>
  <si>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</si>
  <si>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</si>
  <si>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</si>
  <si>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</si>
  <si>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</si>
  <si>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</si>
  <si>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</si>
  <si>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</si>
  <si>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</si>
  <si>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</si>
  <si>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</si>
  <si>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</si>
  <si>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</si>
  <si>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</si>
  <si>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</si>
  <si>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</si>
  <si>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</si>
  <si>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</si>
  <si>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</si>
  <si>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</si>
  <si>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</si>
  <si>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</si>
  <si>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</si>
  <si>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</si>
  <si>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</si>
  <si>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</si>
  <si>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</si>
  <si>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</si>
  <si>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</si>
  <si>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</si>
  <si>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</si>
  <si>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</si>
  <si>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</si>
  <si>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</si>
  <si>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</si>
  <si>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</si>
  <si>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</si>
  <si>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</si>
  <si>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</si>
  <si>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</si>
  <si>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</si>
  <si>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</si>
  <si>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</si>
  <si>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</si>
  <si>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</si>
  <si>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</si>
  <si>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</si>
  <si>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</si>
  <si>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</si>
  <si>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</si>
  <si>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</si>
  <si>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</si>
  <si>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</si>
  <si>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</si>
  <si>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</si>
  <si>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</si>
  <si>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</si>
  <si>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</si>
  <si>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</si>
  <si>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</si>
  <si>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</si>
  <si>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</si>
  <si>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</si>
  <si>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</si>
  <si>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</si>
  <si>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</si>
  <si>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</si>
  <si>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</si>
  <si>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</si>
  <si>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</si>
  <si>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</si>
  <si>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</si>
  <si>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</si>
  <si>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</si>
  <si>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</si>
  <si>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</si>
  <si>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</si>
  <si>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</si>
  <si>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</si>
  <si>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</si>
  <si>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</si>
  <si>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</si>
  <si>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</si>
  <si>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</si>
  <si>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</si>
  <si>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</si>
  <si>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</si>
  <si>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</si>
  <si>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</si>
  <si>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</si>
  <si>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</si>
  <si>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</si>
  <si>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</si>
  <si>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</si>
  <si>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</si>
  <si>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</si>
  <si>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</si>
  <si>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</si>
  <si>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</si>
  <si>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</si>
  <si>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</si>
  <si>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</si>
  <si>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</si>
  <si>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</si>
  <si>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</si>
  <si>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</si>
  <si>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</si>
  <si>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</si>
  <si>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</si>
  <si>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</si>
  <si>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</si>
  <si>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</si>
  <si>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</si>
  <si>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</si>
  <si>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</si>
  <si>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</si>
  <si>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</si>
  <si>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</si>
  <si>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</si>
  <si>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</si>
  <si>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</si>
  <si>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</si>
  <si>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</si>
  <si>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</si>
  <si>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</si>
  <si>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</si>
  <si>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</si>
  <si>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</si>
  <si>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</si>
  <si>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</si>
  <si>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</si>
  <si>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</si>
  <si>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</si>
  <si>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</si>
  <si>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</si>
  <si>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</si>
  <si>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</si>
  <si>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</si>
  <si>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</si>
  <si>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</si>
  <si>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</si>
  <si>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</si>
  <si>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</si>
  <si>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</si>
  <si>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</si>
  <si>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</si>
  <si>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</si>
  <si>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</si>
  <si>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</si>
  <si>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</si>
  <si>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</si>
  <si>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</si>
  <si>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</si>
  <si>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</si>
  <si>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</si>
  <si>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</si>
  <si>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</si>
  <si>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</si>
  <si>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</si>
  <si>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</si>
  <si>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</si>
  <si>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</si>
  <si>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</si>
  <si>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</si>
  <si>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</si>
  <si>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</si>
  <si>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</si>
  <si>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</si>
  <si>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</si>
  <si>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</si>
  <si>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</si>
  <si>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</si>
  <si>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</si>
  <si>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</si>
  <si>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</si>
  <si>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</si>
  <si>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</si>
  <si>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</si>
  <si>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</si>
  <si>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</si>
  <si>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</si>
  <si>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</si>
  <si>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</si>
  <si>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</si>
  <si>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</si>
  <si>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</si>
  <si>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</si>
  <si>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</si>
  <si>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</si>
  <si>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</si>
  <si>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</si>
  <si>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</si>
  <si>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</si>
  <si>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</si>
  <si>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</si>
  <si>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</si>
  <si>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</si>
  <si>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</si>
  <si>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</si>
  <si>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</si>
  <si>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</si>
  <si>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</si>
  <si>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</si>
  <si>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</si>
  <si>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</si>
  <si>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</si>
  <si>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</si>
  <si>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</si>
  <si>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</si>
  <si>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</si>
  <si>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</si>
  <si>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</si>
  <si>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</si>
  <si>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</si>
  <si>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</si>
  <si>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</si>
  <si>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</si>
  <si>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</si>
  <si>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</si>
  <si>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</si>
  <si>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</si>
  <si>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</si>
  <si>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</si>
  <si>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</si>
  <si>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</si>
  <si>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</si>
  <si>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</si>
  <si>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</si>
  <si>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</si>
  <si>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</si>
  <si>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</si>
  <si>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</si>
  <si>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</si>
  <si>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</si>
  <si>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</si>
  <si>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</si>
  <si>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</si>
  <si>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</si>
  <si>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</si>
  <si>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</si>
  <si>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</si>
  <si>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</si>
  <si>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</si>
  <si>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</si>
  <si>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</si>
  <si>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</si>
  <si>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</si>
  <si>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</si>
  <si>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</si>
  <si>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</si>
  <si>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</si>
  <si>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</si>
  <si>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</si>
  <si>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</si>
  <si>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</si>
  <si>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</si>
  <si>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</si>
  <si>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</si>
  <si>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</si>
  <si>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</si>
  <si>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</si>
  <si>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</si>
  <si>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</si>
  <si>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</si>
  <si>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</si>
  <si>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</si>
  <si>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</si>
  <si>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</si>
  <si>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</si>
  <si>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</si>
  <si>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</si>
  <si>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</si>
  <si>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</si>
  <si>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</si>
  <si>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</si>
  <si>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</si>
  <si>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</si>
  <si>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</si>
  <si>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</si>
  <si>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</si>
  <si>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</si>
  <si>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</si>
  <si>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</si>
  <si>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</si>
  <si>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</si>
  <si>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</si>
  <si>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</si>
  <si>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</si>
  <si>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</si>
  <si>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</si>
  <si>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</si>
  <si>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</si>
  <si>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</si>
  <si>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</si>
  <si>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</si>
  <si>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</si>
  <si>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</si>
  <si>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</si>
  <si>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</si>
  <si>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</si>
  <si>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</si>
  <si>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</si>
  <si>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</si>
  <si>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</si>
  <si>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</si>
  <si>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</si>
  <si>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</si>
  <si>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</si>
  <si>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</si>
  <si>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</si>
  <si>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</si>
  <si>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</si>
  <si>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</si>
  <si>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</si>
  <si>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</si>
  <si>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</si>
  <si>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</si>
  <si>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</si>
  <si>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</si>
  <si>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</si>
  <si>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</si>
  <si>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</si>
  <si>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</si>
  <si>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</si>
  <si>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</si>
  <si>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</si>
  <si>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</si>
  <si>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</si>
  <si>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</si>
  <si>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</si>
  <si>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</si>
  <si>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</si>
  <si>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</si>
  <si>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</si>
  <si>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</si>
  <si>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</si>
  <si>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</si>
  <si>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</si>
  <si>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</si>
  <si>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</si>
  <si>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</si>
  <si>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</si>
  <si>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</si>
  <si>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</si>
  <si>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</si>
  <si>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</si>
  <si>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</si>
  <si>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</si>
  <si>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</si>
  <si>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</si>
  <si>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</si>
  <si>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</si>
  <si>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</si>
  <si>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</si>
  <si>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</si>
  <si>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</si>
  <si>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</si>
  <si>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</si>
  <si>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</si>
  <si>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</si>
  <si>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</si>
  <si>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</si>
  <si>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</si>
  <si>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</si>
  <si>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</si>
  <si>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</si>
  <si>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</si>
  <si>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</si>
  <si>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</si>
  <si>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</si>
  <si>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</si>
  <si>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</si>
  <si>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</si>
  <si>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</si>
  <si>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</si>
  <si>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</si>
  <si>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</si>
  <si>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</si>
  <si>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</si>
  <si>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</si>
  <si>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</si>
  <si>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</si>
  <si>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</si>
  <si>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</si>
  <si>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</si>
  <si>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</si>
  <si>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</si>
  <si>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</si>
  <si>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</si>
  <si>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</si>
  <si>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</si>
  <si>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</si>
  <si>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</si>
  <si>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</si>
  <si>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</si>
  <si>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</si>
  <si>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</si>
  <si>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</si>
  <si>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</si>
  <si>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</si>
  <si>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</si>
  <si>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</si>
  <si>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</si>
  <si>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</si>
  <si>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</si>
  <si>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</si>
  <si>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</si>
  <si>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</si>
  <si>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</si>
  <si>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</si>
  <si>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</si>
  <si>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</si>
  <si>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</si>
  <si>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</si>
  <si>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</si>
  <si>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</si>
  <si>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</si>
  <si>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</si>
  <si>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</si>
  <si>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</si>
  <si>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</si>
  <si>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</si>
  <si>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</si>
  <si>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</si>
  <si>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</si>
  <si>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</si>
  <si>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</si>
  <si>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</si>
  <si>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</si>
  <si>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</si>
  <si>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</si>
  <si>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</si>
  <si>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</si>
  <si>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</si>
  <si>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</si>
  <si>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</si>
  <si>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</si>
  <si>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</si>
  <si>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</si>
  <si>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</si>
  <si>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</si>
  <si>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</si>
  <si>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</si>
  <si>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</si>
  <si>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</si>
  <si>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</si>
  <si>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</si>
  <si>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</si>
  <si>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</si>
  <si>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</si>
  <si>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</si>
  <si>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</si>
  <si>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</si>
  <si>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</si>
  <si>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</si>
  <si>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</si>
  <si>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</si>
  <si>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</si>
  <si>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</si>
  <si>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</si>
  <si>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</si>
  <si>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</si>
  <si>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</si>
  <si>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</si>
  <si>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</si>
  <si>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</si>
  <si>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</si>
  <si>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</si>
  <si>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</si>
  <si>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</si>
  <si>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</si>
  <si>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</si>
  <si>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</si>
  <si>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</si>
  <si>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</si>
  <si>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</si>
  <si>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</si>
  <si>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</si>
  <si>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</si>
  <si>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</si>
  <si>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</si>
  <si>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</si>
  <si>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</si>
  <si>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</si>
  <si>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</si>
  <si>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</si>
  <si>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</si>
  <si>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</si>
  <si>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</si>
  <si>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</si>
  <si>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</si>
  <si>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</si>
  <si>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</si>
  <si>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</si>
  <si>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</si>
  <si>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</si>
  <si>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</si>
  <si>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</si>
  <si>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</si>
  <si>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</si>
  <si>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</si>
  <si>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</si>
  <si>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</si>
  <si>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</si>
  <si>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</si>
  <si>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</si>
  <si>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</si>
  <si>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</si>
  <si>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</si>
  <si>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</si>
  <si>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</si>
  <si>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</si>
  <si>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</si>
  <si>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</si>
  <si>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</si>
  <si>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</si>
  <si>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</si>
  <si>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</si>
  <si>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</si>
  <si>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</si>
  <si>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</si>
  <si>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</si>
  <si>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</si>
  <si>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</si>
  <si>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</si>
  <si>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</si>
  <si>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</si>
  <si>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</si>
  <si>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</si>
  <si>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</si>
  <si>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</si>
  <si>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</si>
  <si>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</si>
  <si>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</si>
  <si>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</si>
  <si>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</si>
  <si>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</si>
  <si>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</si>
  <si>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</si>
  <si>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</si>
  <si>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</si>
  <si>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</si>
  <si>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</si>
  <si>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</si>
  <si>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</si>
  <si>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</si>
  <si>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</si>
  <si>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</si>
  <si>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</si>
  <si>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</si>
  <si>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</si>
  <si>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</si>
  <si>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</si>
  <si>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</si>
  <si>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</si>
  <si>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</si>
  <si>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</si>
  <si>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</si>
  <si>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</si>
  <si>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</si>
  <si>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</si>
  <si>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</si>
  <si>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</si>
  <si>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</si>
  <si>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</si>
  <si>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</si>
  <si>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</si>
  <si>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</si>
  <si>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</si>
  <si>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</si>
  <si>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</si>
  <si>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</si>
  <si>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</si>
  <si>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</si>
  <si>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</si>
  <si>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</si>
  <si>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</si>
  <si>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</si>
  <si>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</si>
  <si>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</si>
  <si>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</si>
  <si>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</si>
  <si>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</si>
  <si>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</si>
  <si>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</si>
  <si>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</si>
  <si>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</si>
  <si>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</si>
  <si>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</si>
  <si>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</si>
  <si>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</si>
  <si>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</si>
  <si>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</si>
  <si>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</si>
  <si>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</si>
  <si>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</si>
  <si>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</si>
  <si>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</si>
  <si>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</si>
  <si>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</si>
  <si>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</si>
  <si>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</si>
  <si>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</si>
  <si>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</si>
  <si>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</si>
  <si>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</si>
  <si>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</si>
  <si>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</si>
  <si>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</si>
  <si>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</si>
  <si>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</si>
  <si>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</si>
  <si>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</si>
  <si>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</si>
  <si>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</si>
  <si>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</si>
  <si>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</si>
  <si>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</si>
  <si>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</si>
  <si>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</si>
  <si>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</si>
  <si>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</si>
  <si>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</si>
  <si>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</si>
  <si>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</si>
  <si>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</si>
  <si>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</si>
  <si>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</si>
  <si>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</si>
  <si>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</si>
  <si>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</si>
  <si>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</si>
  <si>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</si>
  <si>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</si>
  <si>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</si>
  <si>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</si>
  <si>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</si>
  <si>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</si>
  <si>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</si>
  <si>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</si>
  <si>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</si>
  <si>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</si>
  <si>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</si>
  <si>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</si>
  <si>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</si>
  <si>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</si>
  <si>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</si>
  <si>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</si>
  <si>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</si>
  <si>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</si>
  <si>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</si>
  <si>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</si>
  <si>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</si>
  <si>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</si>
  <si>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</si>
  <si>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</si>
  <si>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</si>
  <si>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</si>
  <si>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</si>
  <si>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</si>
  <si>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</si>
  <si>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</si>
  <si>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</si>
  <si>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</si>
  <si>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</si>
  <si>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</si>
  <si>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</si>
  <si>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</si>
  <si>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</si>
  <si>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</si>
  <si>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</si>
  <si>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</si>
  <si>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</si>
  <si>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</si>
  <si>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</si>
  <si>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</si>
  <si>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</si>
  <si>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</si>
  <si>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</si>
  <si>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</si>
  <si>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</si>
  <si>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</si>
  <si>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</si>
  <si>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</si>
  <si>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</si>
  <si>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</si>
  <si>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</si>
  <si>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</si>
  <si>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</si>
  <si>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</si>
  <si>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</si>
  <si>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</si>
  <si>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</si>
  <si>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</si>
  <si>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</si>
  <si>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</si>
  <si>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</si>
  <si>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</si>
  <si>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</si>
  <si>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</si>
  <si>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</si>
  <si>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</si>
  <si>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</si>
  <si>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</si>
  <si>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</si>
  <si>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</si>
  <si>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</si>
  <si>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</si>
  <si>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</si>
  <si>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</si>
  <si>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</si>
  <si>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</si>
  <si>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</si>
  <si>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</si>
  <si>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</si>
  <si>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</si>
  <si>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</si>
  <si>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</si>
  <si>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</si>
  <si>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</si>
  <si>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</si>
  <si>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</si>
  <si>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</si>
  <si>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</si>
  <si>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</si>
  <si>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</si>
  <si>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</si>
  <si>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</si>
  <si>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</si>
  <si>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</si>
  <si>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</si>
  <si>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</si>
  <si>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</si>
  <si>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</si>
  <si>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</si>
  <si>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</si>
  <si>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</si>
  <si>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</si>
  <si>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</si>
  <si>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</si>
  <si>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</si>
  <si>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</si>
  <si>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</si>
  <si>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</si>
  <si>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</si>
  <si>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</si>
  <si>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</si>
  <si>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</si>
  <si>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</si>
  <si>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</si>
  <si>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</si>
  <si>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</si>
  <si>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</si>
  <si>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</si>
  <si>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</si>
  <si>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</si>
  <si>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</si>
  <si>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</si>
  <si>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</si>
  <si>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</si>
  <si>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</si>
  <si>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</si>
  <si>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</si>
  <si>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</si>
  <si>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</si>
  <si>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</si>
  <si>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</si>
  <si>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</si>
  <si>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</si>
  <si>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</si>
  <si>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</si>
  <si>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</si>
  <si>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</si>
  <si>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</si>
  <si>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</si>
  <si>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</si>
  <si>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</si>
  <si>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</si>
  <si>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</si>
  <si>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</si>
  <si>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</si>
  <si>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</si>
  <si>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</si>
  <si>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</si>
  <si>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</si>
  <si>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</si>
  <si>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</si>
  <si>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</si>
  <si>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</si>
  <si>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</si>
  <si>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</si>
  <si>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</si>
  <si>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</si>
  <si>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</si>
  <si>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</si>
  <si>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</si>
  <si>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</si>
  <si>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</si>
  <si>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</si>
  <si>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</si>
  <si>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</si>
  <si>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</si>
  <si>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</si>
  <si>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</si>
  <si>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</si>
  <si>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</si>
  <si>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</si>
  <si>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</si>
  <si>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</si>
  <si>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</si>
  <si>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</si>
  <si>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</si>
  <si>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</si>
  <si>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</si>
  <si>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</si>
  <si>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</si>
  <si>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</si>
  <si>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</si>
  <si>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</si>
  <si>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</si>
  <si>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</si>
  <si>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</si>
  <si>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</si>
  <si>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</si>
  <si>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</si>
  <si>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</si>
  <si>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</si>
  <si>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</si>
  <si>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</si>
  <si>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</si>
  <si>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</si>
  <si>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</si>
  <si>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</si>
  <si>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</si>
  <si>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</si>
  <si>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</si>
  <si>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</si>
  <si>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</si>
  <si>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</si>
  <si>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</si>
  <si>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</si>
  <si>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</si>
  <si>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</si>
  <si>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</si>
  <si>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</si>
  <si>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</si>
  <si>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</si>
  <si>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</si>
  <si>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</si>
  <si>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</si>
  <si>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</si>
  <si>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</si>
  <si>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</si>
  <si>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</si>
  <si>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</si>
  <si>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</si>
  <si>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</si>
  <si>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</si>
  <si>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</si>
  <si>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</si>
  <si>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</si>
  <si>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</si>
  <si>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</si>
  <si>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</si>
  <si>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</si>
  <si>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</si>
  <si>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</si>
  <si>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</si>
  <si>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</si>
  <si>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</si>
  <si>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</si>
  <si>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</si>
  <si>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</si>
  <si>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</si>
  <si>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</si>
  <si>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</si>
  <si>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</si>
  <si>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</si>
  <si>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</si>
  <si>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</si>
  <si>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</si>
  <si>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</si>
  <si>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</si>
  <si>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</si>
  <si>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</si>
  <si>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</si>
  <si>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</si>
  <si>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</si>
  <si>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</si>
  <si>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</si>
  <si>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</si>
  <si>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</si>
  <si>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</si>
  <si>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</si>
  <si>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</si>
  <si>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</si>
  <si>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</si>
  <si>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</si>
  <si>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</si>
  <si>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</si>
  <si>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</si>
  <si>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</si>
  <si>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</si>
  <si>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</si>
  <si>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</si>
  <si>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</si>
  <si>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</si>
  <si>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</si>
  <si>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</si>
  <si>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</si>
  <si>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</si>
  <si>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</si>
  <si>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</si>
  <si>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</si>
  <si>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</si>
  <si>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</si>
  <si>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</si>
  <si>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</si>
  <si>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</si>
  <si>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</si>
  <si>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</si>
  <si>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</si>
  <si>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</si>
  <si>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</si>
  <si>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</si>
  <si>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</si>
  <si>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</si>
  <si>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</si>
  <si>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</si>
  <si>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</si>
  <si>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</si>
  <si>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</si>
  <si>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</si>
  <si>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</si>
  <si>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</si>
  <si>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</si>
  <si>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</si>
  <si>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</si>
  <si>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</si>
  <si>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</si>
  <si>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</si>
  <si>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</si>
  <si>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</si>
  <si>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</si>
  <si>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</si>
  <si>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</si>
  <si>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</si>
  <si>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</si>
  <si>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</si>
  <si>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</si>
  <si>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</si>
  <si>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</si>
  <si>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</si>
  <si>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</si>
  <si>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</si>
  <si>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</si>
  <si>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</si>
  <si>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</si>
  <si>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</si>
  <si>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</si>
  <si>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</si>
  <si>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</si>
  <si>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</si>
  <si>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</si>
  <si>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</si>
  <si>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</si>
  <si>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</si>
  <si>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</si>
  <si>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</si>
  <si>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</si>
  <si>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</si>
  <si>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</si>
  <si>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</si>
  <si>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</si>
  <si>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</si>
  <si>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</si>
  <si>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</si>
  <si>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</si>
  <si>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</si>
  <si>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</si>
  <si>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</si>
  <si>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</si>
  <si>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</si>
  <si>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</si>
  <si>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</si>
  <si>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</si>
  <si>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</si>
  <si>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</si>
  <si>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</si>
  <si>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</si>
  <si>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</si>
  <si>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</si>
  <si>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</si>
  <si>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</si>
  <si>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</si>
  <si>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</si>
  <si>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</si>
  <si>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</si>
  <si>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</si>
  <si>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</si>
  <si>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</si>
  <si>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</si>
  <si>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</si>
  <si>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</si>
  <si>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</si>
  <si>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</si>
  <si>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</si>
  <si>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</si>
  <si>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</si>
  <si>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</si>
  <si>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</si>
  <si>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</si>
  <si>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</si>
  <si>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</si>
  <si>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</si>
  <si>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</si>
  <si>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</si>
  <si>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</si>
  <si>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</si>
  <si>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</si>
  <si>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</si>
  <si>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</si>
  <si>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</si>
  <si>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</si>
  <si>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</si>
  <si>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</si>
  <si>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</si>
  <si>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</si>
  <si>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</si>
  <si>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</si>
  <si>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</si>
  <si>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</si>
  <si>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</si>
  <si>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</si>
  <si>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</si>
  <si>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</si>
  <si>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</si>
  <si>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</si>
  <si>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</si>
  <si>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</si>
  <si>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</si>
  <si>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</si>
  <si>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</si>
  <si>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</si>
  <si>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</si>
  <si>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</si>
  <si>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</si>
  <si>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</si>
  <si>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</si>
  <si>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</si>
  <si>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</si>
  <si>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</si>
  <si>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</si>
  <si>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</si>
  <si>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</si>
  <si>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</si>
  <si>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</si>
  <si>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</si>
  <si>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</si>
  <si>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</si>
  <si>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</si>
  <si>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</si>
  <si>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</si>
  <si>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</si>
  <si>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</si>
  <si>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</si>
  <si>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</si>
  <si>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</si>
  <si>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</si>
  <si>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</si>
  <si>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</si>
  <si>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</si>
  <si>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</si>
  <si>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</si>
  <si>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</si>
  <si>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</si>
  <si>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</si>
  <si>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</si>
  <si>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</si>
  <si>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</si>
  <si>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</si>
  <si>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</si>
  <si>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</si>
  <si>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</si>
  <si>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</si>
  <si>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</si>
  <si>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</si>
  <si>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</si>
  <si>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</si>
  <si>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</si>
  <si>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</si>
  <si>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</si>
  <si>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</si>
  <si>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</si>
  <si>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</si>
  <si>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</si>
  <si>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</si>
  <si>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</si>
  <si>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</si>
  <si>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</si>
  <si>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</si>
  <si>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</si>
  <si>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</si>
  <si>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</si>
  <si>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</si>
  <si>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</si>
  <si>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</si>
  <si>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</si>
  <si>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</si>
  <si>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</si>
  <si>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</si>
  <si>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</si>
  <si>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</si>
  <si>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</si>
  <si>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</si>
  <si>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</si>
  <si>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</si>
  <si>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</si>
  <si>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</si>
  <si>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</si>
  <si>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</si>
  <si>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</si>
  <si>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</si>
  <si>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</si>
  <si>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</si>
  <si>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</si>
  <si>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</si>
  <si>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</si>
  <si>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</si>
  <si>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</si>
  <si>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</si>
  <si>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</si>
  <si>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</si>
  <si>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</si>
  <si>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</si>
  <si>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</si>
  <si>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</si>
  <si>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</si>
  <si>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</si>
  <si>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</si>
  <si>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</si>
  <si>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</si>
  <si>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</si>
  <si>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</si>
  <si>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</si>
  <si>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</si>
  <si>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</si>
  <si>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</si>
  <si>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</si>
  <si>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</si>
  <si>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</si>
  <si>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</si>
  <si>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</si>
  <si>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</si>
  <si>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</si>
  <si>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</si>
  <si>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</si>
  <si>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</si>
  <si>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</si>
  <si>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</si>
  <si>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</si>
  <si>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</si>
  <si>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</si>
  <si>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</si>
  <si>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</si>
  <si>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</si>
  <si>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</si>
  <si>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</si>
  <si>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</si>
  <si>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</si>
  <si>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</si>
  <si>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</si>
  <si>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</si>
  <si>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</si>
  <si>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</si>
  <si>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</si>
  <si>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</si>
  <si>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</si>
  <si>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</si>
  <si>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</si>
  <si>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</si>
  <si>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</si>
  <si>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</si>
  <si>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</si>
  <si>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</si>
  <si>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</si>
  <si>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</si>
  <si>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</si>
  <si>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</si>
  <si>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</si>
  <si>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</si>
  <si>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</si>
  <si>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</si>
  <si>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</si>
  <si>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</si>
  <si>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</si>
  <si>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</si>
  <si>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</si>
  <si>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</si>
  <si>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</si>
  <si>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</si>
  <si>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</si>
  <si>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</si>
  <si>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</si>
  <si>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</si>
  <si>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</si>
  <si>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</si>
  <si>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</si>
  <si>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</si>
  <si>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</si>
  <si>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</si>
  <si>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</si>
  <si>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</si>
  <si>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</si>
  <si>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</si>
  <si>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</si>
  <si>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</si>
  <si>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</si>
  <si>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</si>
  <si>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</si>
  <si>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</si>
  <si>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</si>
  <si>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</si>
  <si>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</si>
  <si>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</si>
  <si>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</si>
  <si>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</si>
  <si>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</si>
  <si>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</si>
  <si>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</si>
  <si>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</si>
  <si>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</si>
  <si>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</si>
  <si>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</si>
  <si>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</si>
  <si>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</si>
  <si>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</si>
  <si>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</si>
  <si>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</si>
  <si>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</si>
  <si>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</si>
  <si>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</si>
  <si>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</si>
  <si>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</si>
  <si>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</si>
  <si>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</si>
  <si>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</si>
  <si>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</si>
  <si>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</si>
  <si>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</si>
  <si>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</si>
  <si>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</si>
  <si>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</si>
  <si>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</si>
  <si>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</si>
  <si>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</si>
  <si>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</si>
  <si>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</si>
  <si>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</si>
  <si>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</si>
  <si>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</si>
  <si>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</si>
  <si>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</si>
  <si>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</si>
  <si>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</si>
  <si>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</si>
  <si>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</si>
  <si>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</si>
  <si>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</si>
  <si>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</si>
  <si>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</si>
  <si>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</si>
  <si>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</si>
  <si>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</si>
  <si>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</si>
  <si>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</si>
  <si>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</si>
  <si>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</si>
  <si>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</si>
  <si>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</si>
  <si>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</si>
  <si>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</si>
  <si>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</si>
  <si>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</si>
  <si>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</si>
  <si>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</si>
  <si>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</si>
  <si>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</si>
  <si>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</si>
  <si>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</si>
  <si>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</si>
  <si>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</si>
  <si>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</si>
  <si>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</si>
  <si>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</si>
  <si>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</si>
  <si>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</si>
  <si>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</si>
  <si>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</si>
  <si>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</si>
  <si>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</si>
  <si>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</si>
  <si>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</si>
  <si>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</si>
  <si>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</si>
  <si>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</si>
  <si>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</si>
  <si>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</si>
  <si>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</si>
  <si>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</si>
  <si>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</si>
  <si>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</si>
  <si>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</si>
  <si>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</si>
  <si>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</si>
  <si>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</si>
  <si>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</si>
  <si>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</si>
  <si>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</si>
  <si>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</si>
  <si>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</si>
  <si>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</si>
  <si>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</si>
  <si>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</si>
  <si>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</si>
  <si>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</si>
  <si>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</si>
  <si>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</si>
  <si>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</si>
  <si>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</si>
  <si>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</si>
  <si>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</si>
  <si>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</si>
  <si>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</si>
  <si>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</si>
  <si>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</si>
  <si>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</si>
  <si>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</si>
  <si>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</si>
  <si>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</si>
  <si>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</si>
  <si>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</si>
  <si>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</si>
  <si>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</si>
  <si>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</si>
  <si>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</si>
  <si>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</si>
  <si>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</si>
  <si>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</si>
  <si>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</si>
  <si>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</si>
  <si>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</si>
  <si>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</si>
  <si>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</si>
  <si>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</si>
  <si>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</si>
  <si>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</si>
  <si>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</si>
  <si>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</si>
  <si>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</si>
  <si>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</si>
  <si>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</si>
  <si>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</si>
  <si>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</si>
  <si>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</si>
  <si>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</si>
  <si>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</si>
  <si>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</si>
  <si>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</si>
  <si>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</si>
  <si>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</si>
  <si>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</si>
  <si>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</si>
  <si>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</si>
  <si>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</si>
  <si>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</si>
  <si>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</si>
  <si>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</si>
  <si>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</si>
  <si>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</si>
  <si>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</si>
  <si>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</si>
  <si>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</si>
  <si>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</si>
  <si>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</si>
  <si>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</si>
  <si>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</si>
  <si>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</si>
  <si>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</si>
  <si>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</si>
  <si>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</si>
  <si>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</si>
  <si>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</si>
  <si>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</si>
  <si>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</si>
  <si>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</si>
  <si>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</si>
  <si>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</si>
  <si>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</si>
  <si>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</si>
  <si>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</si>
  <si>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</si>
  <si>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</si>
  <si>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</si>
  <si>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</si>
  <si>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</si>
  <si>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</si>
  <si>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</si>
  <si>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</si>
  <si>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</si>
  <si>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</si>
  <si>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</si>
  <si>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</si>
  <si>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</si>
  <si>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</si>
  <si>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</si>
  <si>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</si>
  <si>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</si>
  <si>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</si>
  <si>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</si>
  <si>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</si>
  <si>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</si>
  <si>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</si>
  <si>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</si>
  <si>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</si>
  <si>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</si>
  <si>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</si>
  <si>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</si>
  <si>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</si>
  <si>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</si>
  <si>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</si>
  <si>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</si>
  <si>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</si>
  <si>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</si>
  <si>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</si>
  <si>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</si>
  <si>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</si>
  <si>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</si>
  <si>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</si>
  <si>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</si>
  <si>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</si>
  <si>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</si>
  <si>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</si>
  <si>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</si>
  <si>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</si>
  <si>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</si>
  <si>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</si>
  <si>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</si>
  <si>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</si>
  <si>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</si>
  <si>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</si>
  <si>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</si>
  <si>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</si>
  <si>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</si>
  <si>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</si>
  <si>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</si>
  <si>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</si>
  <si>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</si>
  <si>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</si>
  <si>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</si>
  <si>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</si>
  <si>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</si>
  <si>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</si>
  <si>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</si>
  <si>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</si>
  <si>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</si>
  <si>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</si>
  <si>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</si>
  <si>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</si>
  <si>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</si>
  <si>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</si>
  <si>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</si>
  <si>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</si>
  <si>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</si>
  <si>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</si>
  <si>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</si>
  <si>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</si>
  <si>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</si>
  <si>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</si>
  <si>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</si>
  <si>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</si>
  <si>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</si>
  <si>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</si>
  <si>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</si>
  <si>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</si>
  <si>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</si>
  <si>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</si>
  <si>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</si>
  <si>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</si>
  <si>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</si>
  <si>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</si>
  <si>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</si>
  <si>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</si>
  <si>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</si>
  <si>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</si>
  <si>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</si>
  <si>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</si>
  <si>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</si>
  <si>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</si>
  <si>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</si>
  <si>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</si>
  <si>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</si>
  <si>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</si>
  <si>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</si>
  <si>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</si>
  <si>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</si>
  <si>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</si>
  <si>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</si>
  <si>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</si>
  <si>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</si>
  <si>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</si>
  <si>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</si>
  <si>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</si>
  <si>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</si>
  <si>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</si>
  <si>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</si>
  <si>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</si>
  <si>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</si>
  <si>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</si>
  <si>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</si>
  <si>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</si>
  <si>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</si>
  <si>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</si>
  <si>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</si>
  <si>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</si>
  <si>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</si>
  <si>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</si>
  <si>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</si>
  <si>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</si>
  <si>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</si>
  <si>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</si>
  <si>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</si>
  <si>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</si>
  <si>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</si>
  <si>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</si>
  <si>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</si>
  <si>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</si>
  <si>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</si>
  <si>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</si>
  <si>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</si>
  <si>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</si>
  <si>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</si>
  <si>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</si>
  <si>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</si>
  <si>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</si>
  <si>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</si>
  <si>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</si>
  <si>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</si>
  <si>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</si>
  <si>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</si>
  <si>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</si>
  <si>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</si>
  <si>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</si>
  <si>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</si>
  <si>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</si>
  <si>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</si>
  <si>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</si>
  <si>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</si>
  <si>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</si>
  <si>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</si>
  <si>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</si>
  <si>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</si>
  <si>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</si>
  <si>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</si>
  <si>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</si>
  <si>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</si>
  <si>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</si>
  <si>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</si>
  <si>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</si>
  <si>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</si>
  <si>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</si>
  <si>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</si>
  <si>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</si>
  <si>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</si>
  <si>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</si>
  <si>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</si>
  <si>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</si>
  <si>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</si>
  <si>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</si>
  <si>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</si>
  <si>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</si>
  <si>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</si>
  <si>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</si>
  <si>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</si>
  <si>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</si>
  <si>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</si>
  <si>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</si>
  <si>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</si>
  <si>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</si>
  <si>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</si>
  <si>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</si>
  <si>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</si>
  <si>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</si>
  <si>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</si>
  <si>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</si>
  <si>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</si>
  <si>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</si>
  <si>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</si>
  <si>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</si>
  <si>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</si>
  <si>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</si>
  <si>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</si>
  <si>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</si>
  <si>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</si>
  <si>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</si>
  <si>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</si>
  <si>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</si>
  <si>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</si>
  <si>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</si>
  <si>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</si>
  <si>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</si>
  <si>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</si>
  <si>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</si>
  <si>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</si>
  <si>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</si>
  <si>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</si>
  <si>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</si>
  <si>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</si>
  <si>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</si>
  <si>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</si>
  <si>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</si>
  <si>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</si>
  <si>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</si>
  <si>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</si>
  <si>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</si>
  <si>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</si>
  <si>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</si>
  <si>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</si>
  <si>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</si>
  <si>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</si>
  <si>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</si>
  <si>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</si>
  <si>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</si>
  <si>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</si>
  <si>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</si>
  <si>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</si>
  <si>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</si>
  <si>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</si>
  <si>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</si>
  <si>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</si>
  <si>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</si>
  <si>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</si>
  <si>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</si>
  <si>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</si>
  <si>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</si>
  <si>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</si>
  <si>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</si>
  <si>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</si>
  <si>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</si>
  <si>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</si>
  <si>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</si>
  <si>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</si>
  <si>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</si>
  <si>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</si>
  <si>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</si>
  <si>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</si>
  <si>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</si>
  <si>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</si>
  <si>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</si>
  <si>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</si>
  <si>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</si>
  <si>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</si>
  <si>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</si>
  <si>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</si>
  <si>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</si>
  <si>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</si>
  <si>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</si>
  <si>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</si>
  <si>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</si>
  <si>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</si>
  <si>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</si>
  <si>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</si>
  <si>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</si>
  <si>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</si>
  <si>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</si>
  <si>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</si>
  <si>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</si>
  <si>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</si>
  <si>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</si>
  <si>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</si>
  <si>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</si>
  <si>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</si>
  <si>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</si>
  <si>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</si>
  <si>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</si>
  <si>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</si>
  <si>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</si>
  <si>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</si>
  <si>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</si>
  <si>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</si>
  <si>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</si>
  <si>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</si>
  <si>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</si>
  <si>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</si>
  <si>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</si>
  <si>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</si>
  <si>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</si>
  <si>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</si>
  <si>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</si>
  <si>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</si>
  <si>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</si>
  <si>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</si>
  <si>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</si>
  <si>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</si>
  <si>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</si>
  <si>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</si>
  <si>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</si>
  <si>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</si>
  <si>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</si>
  <si>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</si>
  <si>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</si>
  <si>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</si>
  <si>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</si>
  <si>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</si>
  <si>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</si>
  <si>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</si>
  <si>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</si>
  <si>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</si>
  <si>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</si>
  <si>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</si>
  <si>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</si>
  <si>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</si>
  <si>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</si>
  <si>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</si>
  <si>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</si>
  <si>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</si>
  <si>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</si>
  <si>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</si>
  <si>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</si>
  <si>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</si>
  <si>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</si>
  <si>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</si>
  <si>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</si>
  <si>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</si>
  <si>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</si>
  <si>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</si>
  <si>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</si>
  <si>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</si>
  <si>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</si>
  <si>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</si>
  <si>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</si>
  <si>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</si>
  <si>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</si>
  <si>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</si>
  <si>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</si>
  <si>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</si>
  <si>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</si>
  <si>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</si>
  <si>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</si>
  <si>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</si>
  <si>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</si>
  <si>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</si>
  <si>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</si>
  <si>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</si>
  <si>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</si>
  <si>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</si>
  <si>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</si>
  <si>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</si>
  <si>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</si>
  <si>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</si>
  <si>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</si>
  <si>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</si>
  <si>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</si>
  <si>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</si>
  <si>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</si>
  <si>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</si>
  <si>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</si>
  <si>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</si>
  <si>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</si>
  <si>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</si>
  <si>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</si>
  <si>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</si>
  <si>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</si>
  <si>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</si>
  <si>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</si>
  <si>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</si>
  <si>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</si>
  <si>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</si>
  <si>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</si>
  <si>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</si>
  <si>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</si>
  <si>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</si>
  <si>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</si>
  <si>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</si>
  <si>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</si>
  <si>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</si>
  <si>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</si>
  <si>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</si>
  <si>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</si>
  <si>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</si>
  <si>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</si>
  <si>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</si>
  <si>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</si>
  <si>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</si>
  <si>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</si>
  <si>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</si>
  <si>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</si>
  <si>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</si>
  <si>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</si>
  <si>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</si>
  <si>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</si>
  <si>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</si>
  <si>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</si>
  <si>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</si>
  <si>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</si>
  <si>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</si>
  <si>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</si>
  <si>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</si>
  <si>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</si>
  <si>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</si>
  <si>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</si>
  <si>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</si>
  <si>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</si>
  <si>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</si>
  <si>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</si>
  <si>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</si>
  <si>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</si>
  <si>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</si>
  <si>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</si>
  <si>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</si>
  <si>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</si>
  <si>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</si>
  <si>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</si>
  <si>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</si>
  <si>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</si>
  <si>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</si>
  <si>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</si>
  <si>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</si>
  <si>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</si>
  <si>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</si>
  <si>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</si>
  <si>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</si>
  <si>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</si>
  <si>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</si>
  <si>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</si>
  <si>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</si>
  <si>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</si>
  <si>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</si>
  <si>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</si>
  <si>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</si>
  <si>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</si>
  <si>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</si>
  <si>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</si>
  <si>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</si>
  <si>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</si>
  <si>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</si>
  <si>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</si>
  <si>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</si>
  <si>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</si>
  <si>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</si>
  <si>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</si>
  <si>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</si>
  <si>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</si>
  <si>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</si>
  <si>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</si>
  <si>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</si>
  <si>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</si>
  <si>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</si>
  <si>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</si>
  <si>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</si>
  <si>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</si>
  <si>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</si>
  <si>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</si>
  <si>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</si>
  <si>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</si>
  <si>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</si>
  <si>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</si>
  <si>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</si>
  <si>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</si>
  <si>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</si>
  <si>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</si>
  <si>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</si>
  <si>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</si>
  <si>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</si>
  <si>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</si>
  <si>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</si>
  <si>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</si>
  <si>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</si>
  <si>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</si>
  <si>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</si>
  <si>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</si>
  <si>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</si>
  <si>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</si>
  <si>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</si>
  <si>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</si>
  <si>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</si>
  <si>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</si>
  <si>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</si>
  <si>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</si>
  <si>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</si>
  <si>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</si>
  <si>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</si>
  <si>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</si>
  <si>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</si>
  <si>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</si>
  <si>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</si>
  <si>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</si>
  <si>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</si>
  <si>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</si>
  <si>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</si>
  <si>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</si>
  <si>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</si>
  <si>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</si>
  <si>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</si>
  <si>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</si>
  <si>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</si>
  <si>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</si>
  <si>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</si>
  <si>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</si>
  <si>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</si>
  <si>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</si>
  <si>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</si>
  <si>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</si>
  <si>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</si>
  <si>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</si>
  <si>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</si>
  <si>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</si>
  <si>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</si>
  <si>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</si>
  <si>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</si>
  <si>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</si>
  <si>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</si>
  <si>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</si>
  <si>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</si>
  <si>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</si>
  <si>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</si>
  <si>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</si>
  <si>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</si>
  <si>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</si>
  <si>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</si>
  <si>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</si>
  <si>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</si>
  <si>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</si>
  <si>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</si>
  <si>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</si>
  <si>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</si>
  <si>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</si>
  <si>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</si>
  <si>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</si>
  <si>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</si>
  <si>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</si>
  <si>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</si>
  <si>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</si>
  <si>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</si>
  <si>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</si>
  <si>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</si>
  <si>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</si>
  <si>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</si>
  <si>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</si>
  <si>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</si>
  <si>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</si>
  <si>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</si>
  <si>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</si>
  <si>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</si>
  <si>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</si>
  <si>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</si>
  <si>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</si>
  <si>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</si>
  <si>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</si>
  <si>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</si>
  <si>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</si>
  <si>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</si>
  <si>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</si>
  <si>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</si>
  <si>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</si>
  <si>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</si>
  <si>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</si>
  <si>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</si>
  <si>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</si>
  <si>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</si>
  <si>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</si>
  <si>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</si>
  <si>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</si>
  <si>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</si>
  <si>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</si>
  <si>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</si>
  <si>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</si>
  <si>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</si>
  <si>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</si>
  <si>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</si>
  <si>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</si>
  <si>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</si>
  <si>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</si>
  <si>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</si>
  <si>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</si>
  <si>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</si>
  <si>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</si>
  <si>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</si>
  <si>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</si>
  <si>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</si>
  <si>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</si>
  <si>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</si>
  <si>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</si>
  <si>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</si>
  <si>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</si>
  <si>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</si>
  <si>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</si>
  <si>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</si>
  <si>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</si>
  <si>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</si>
  <si>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</si>
  <si>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</si>
  <si>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</si>
  <si>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</si>
  <si>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</si>
  <si>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</si>
  <si>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</si>
  <si>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</si>
  <si>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</si>
  <si>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</si>
  <si>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</si>
  <si>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</si>
  <si>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</si>
  <si>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</si>
  <si>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</si>
  <si>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</si>
  <si>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</si>
  <si>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</si>
  <si>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</si>
  <si>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</si>
  <si>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</si>
  <si>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</si>
  <si>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</si>
  <si>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</si>
  <si>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</si>
  <si>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</si>
  <si>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</si>
  <si>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</si>
  <si>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</si>
  <si>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</si>
  <si>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</si>
  <si>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</si>
  <si>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</si>
  <si>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</si>
  <si>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</si>
  <si>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</si>
  <si>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</si>
  <si>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</si>
  <si>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</si>
  <si>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</si>
  <si>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</si>
  <si>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</si>
  <si>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</si>
  <si>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</si>
  <si>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</si>
  <si>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</si>
  <si>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</si>
  <si>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</si>
  <si>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</si>
  <si>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</si>
  <si>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</si>
  <si>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</si>
  <si>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</si>
  <si>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</si>
  <si>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</si>
  <si>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</si>
  <si>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</si>
  <si>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</si>
  <si>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</si>
  <si>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</si>
  <si>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</si>
  <si>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</si>
  <si>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</si>
  <si>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</si>
  <si>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</si>
  <si>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</si>
  <si>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</si>
  <si>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</si>
  <si>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</si>
  <si>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</si>
  <si>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</si>
  <si>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</si>
  <si>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</si>
  <si>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</si>
  <si>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</si>
  <si>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</si>
  <si>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</si>
  <si>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</si>
  <si>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</si>
  <si>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</si>
  <si>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</si>
  <si>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</si>
  <si>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</si>
  <si>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</si>
  <si>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</si>
  <si>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</si>
  <si>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</si>
  <si>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</si>
  <si>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</si>
  <si>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</si>
  <si>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</si>
  <si>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</si>
  <si>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</si>
  <si>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</si>
  <si>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</si>
  <si>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</si>
  <si>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</si>
  <si>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</si>
  <si>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</si>
  <si>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</si>
  <si>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</si>
  <si>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</si>
  <si>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</si>
  <si>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</si>
  <si>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</si>
  <si>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</si>
  <si>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</si>
  <si>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</si>
  <si>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</si>
  <si>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</si>
  <si>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</si>
  <si>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</si>
  <si>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</si>
  <si>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</si>
  <si>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</si>
  <si>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</si>
  <si>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</si>
  <si>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</si>
  <si>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</si>
  <si>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</si>
  <si>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</si>
  <si>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</si>
  <si>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</si>
  <si>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</si>
  <si>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</si>
  <si>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</si>
  <si>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</si>
  <si>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</si>
  <si>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</si>
  <si>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</si>
  <si>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</si>
  <si>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</si>
  <si>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</si>
  <si>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</si>
  <si>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</si>
  <si>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</si>
  <si>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</si>
  <si>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</si>
  <si>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</si>
  <si>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</si>
  <si>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</si>
  <si>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</si>
  <si>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</si>
  <si>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</si>
  <si>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</si>
  <si>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</si>
  <si>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</si>
  <si>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</si>
  <si>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</si>
  <si>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</si>
  <si>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</si>
  <si>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</si>
  <si>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</si>
  <si>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</si>
  <si>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</si>
  <si>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</si>
  <si>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</si>
  <si>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</si>
  <si>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</si>
  <si>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</si>
  <si>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</si>
  <si>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</si>
  <si>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</si>
  <si>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</si>
  <si>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</si>
  <si>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</si>
  <si>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</si>
  <si>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</si>
  <si>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</si>
  <si>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</si>
  <si>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</si>
  <si>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</si>
  <si>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</si>
  <si>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</si>
  <si>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</si>
  <si>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</si>
  <si>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</si>
  <si>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</si>
  <si>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</si>
  <si>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</si>
  <si>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</si>
  <si>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</si>
  <si>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</si>
  <si>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</si>
  <si>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</si>
  <si>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</si>
  <si>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</si>
  <si>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</si>
  <si>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</si>
  <si>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</si>
  <si>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</si>
  <si>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</si>
  <si>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</si>
  <si>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</si>
  <si>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</si>
  <si>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</si>
  <si>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</si>
  <si>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</si>
  <si>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</si>
  <si>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</si>
  <si>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</si>
  <si>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</si>
  <si>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</si>
  <si>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</si>
  <si>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</si>
  <si>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</si>
  <si>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</si>
  <si>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</si>
  <si>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</si>
  <si>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</si>
  <si>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</si>
  <si>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</si>
  <si>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</si>
  <si>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</si>
  <si>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</si>
  <si>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</si>
  <si>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</si>
  <si>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</si>
  <si>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</si>
  <si>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</si>
  <si>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</si>
  <si>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</si>
  <si>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</si>
  <si>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</si>
  <si>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</si>
  <si>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</si>
  <si>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</si>
  <si>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</si>
  <si>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</si>
  <si>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</si>
  <si>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</si>
  <si>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</si>
  <si>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</si>
  <si>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</si>
  <si>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</si>
  <si>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</si>
  <si>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</si>
  <si>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</si>
  <si>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</si>
  <si>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</si>
  <si>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</si>
  <si>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</si>
  <si>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</si>
  <si>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</si>
  <si>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</si>
  <si>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</si>
  <si>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</si>
  <si>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</si>
  <si>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</si>
  <si>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</si>
  <si>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</si>
  <si>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</si>
  <si>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</si>
  <si>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</si>
  <si>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</si>
  <si>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</si>
  <si>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</si>
  <si>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</si>
  <si>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</si>
  <si>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</si>
  <si>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</si>
  <si>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</si>
  <si>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</si>
  <si>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</si>
  <si>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</si>
  <si>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</si>
  <si>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</si>
  <si>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</si>
  <si>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</si>
  <si>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</si>
  <si>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</si>
  <si>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</si>
  <si>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</si>
  <si>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</si>
  <si>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</si>
  <si>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</si>
  <si>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</si>
  <si>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</si>
  <si>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</si>
  <si>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</si>
  <si>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</si>
  <si>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</si>
  <si>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</si>
  <si>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</si>
  <si>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</si>
  <si>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</si>
  <si>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</si>
  <si>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</si>
  <si>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</si>
  <si>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</si>
  <si>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</si>
  <si>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</si>
  <si>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</si>
  <si>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</si>
  <si>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</si>
  <si>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</si>
  <si>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</si>
  <si>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</si>
  <si>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</si>
  <si>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</si>
  <si>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</si>
  <si>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</si>
  <si>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</si>
  <si>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</si>
  <si>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</si>
  <si>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</si>
  <si>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</si>
  <si>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</si>
  <si>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</si>
  <si>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</si>
  <si>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</si>
  <si>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</si>
  <si>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</si>
  <si>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</si>
  <si>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</si>
  <si>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</si>
  <si>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</si>
  <si>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</si>
  <si>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</si>
  <si>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</si>
  <si>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</si>
  <si>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</si>
  <si>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</si>
  <si>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</si>
  <si>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</si>
  <si>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</si>
  <si>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</si>
  <si>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</si>
  <si>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</si>
  <si>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</si>
  <si>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</si>
  <si>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</si>
  <si>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</si>
  <si>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</si>
  <si>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</si>
  <si>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</si>
  <si>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</si>
  <si>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</si>
  <si>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</si>
  <si>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</si>
  <si>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</si>
  <si>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</si>
  <si>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</si>
  <si>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</si>
  <si>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</si>
  <si>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</si>
  <si>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</si>
  <si>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</si>
  <si>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</si>
  <si>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</si>
  <si>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</si>
  <si>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</si>
  <si>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</si>
  <si>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</si>
  <si>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</si>
  <si>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</si>
  <si>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</si>
  <si>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</si>
  <si>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</si>
  <si>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</si>
  <si>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</si>
  <si>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</si>
  <si>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</si>
  <si>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</si>
  <si>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</si>
  <si>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</si>
  <si>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</si>
  <si>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</si>
  <si>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</si>
  <si>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</si>
  <si>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</si>
  <si>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</si>
  <si>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</si>
  <si>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</si>
  <si>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</si>
  <si>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</si>
  <si>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</si>
  <si>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</si>
  <si>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</si>
  <si>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</si>
  <si>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</si>
  <si>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</si>
  <si>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</si>
  <si>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</si>
  <si>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</si>
  <si>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</si>
  <si>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</si>
  <si>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</si>
  <si>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</si>
  <si>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</si>
  <si>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</si>
  <si>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</si>
  <si>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</si>
  <si>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</si>
  <si>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</si>
  <si>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</si>
  <si>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</si>
  <si>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</si>
  <si>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</si>
  <si>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</si>
  <si>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</si>
  <si>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</si>
  <si>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</si>
  <si>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</si>
  <si>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</si>
  <si>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</si>
  <si>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</si>
  <si>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</si>
  <si>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</si>
  <si>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</si>
  <si>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</si>
  <si>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</si>
  <si>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</si>
  <si>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</si>
  <si>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</si>
  <si>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</si>
  <si>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</si>
  <si>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</si>
  <si>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</si>
  <si>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</si>
  <si>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</si>
  <si>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</si>
  <si>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</si>
  <si>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</si>
  <si>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</si>
  <si>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</si>
  <si>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</si>
  <si>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</si>
  <si>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</si>
  <si>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</si>
  <si>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</si>
  <si>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</si>
  <si>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</si>
  <si>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</si>
  <si>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</si>
  <si>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</si>
  <si>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</si>
  <si>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</si>
  <si>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</si>
  <si>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</si>
  <si>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</si>
  <si>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</si>
  <si>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</si>
  <si>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</si>
  <si>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</si>
  <si>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</si>
  <si>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</si>
  <si>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</si>
  <si>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</si>
  <si>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</si>
  <si>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</si>
  <si>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</si>
  <si>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</si>
  <si>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</si>
  <si>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</si>
  <si>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</si>
  <si>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</si>
  <si>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</si>
  <si>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</si>
  <si>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</si>
  <si>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</si>
  <si>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</si>
  <si>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</si>
  <si>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</si>
  <si>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</si>
  <si>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</si>
  <si>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</si>
  <si>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</si>
  <si>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</si>
  <si>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</si>
  <si>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</si>
  <si>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</si>
  <si>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</si>
  <si>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</si>
  <si>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</si>
  <si>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</si>
  <si>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</si>
  <si>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</si>
  <si>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</si>
  <si>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</si>
  <si>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</si>
  <si>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</si>
  <si>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</si>
  <si>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</si>
  <si>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</si>
  <si>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</si>
  <si>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</si>
  <si>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</si>
  <si>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</si>
  <si>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</si>
  <si>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</si>
  <si>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</si>
  <si>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</si>
  <si>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</si>
  <si>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</si>
  <si>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</si>
  <si>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</si>
  <si>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</si>
  <si>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</si>
  <si>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</si>
  <si>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</si>
  <si>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</si>
  <si>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</si>
  <si>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</si>
  <si>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</si>
  <si>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</si>
  <si>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</si>
  <si>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</si>
  <si>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</si>
  <si>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</si>
  <si>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</si>
  <si>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</si>
  <si>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</si>
  <si>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</si>
  <si>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</si>
  <si>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</si>
  <si>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</si>
  <si>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</si>
  <si>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</si>
  <si>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</si>
  <si>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</si>
  <si>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</si>
  <si>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</si>
  <si>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</si>
  <si>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</si>
  <si>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</si>
  <si>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</si>
  <si>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</si>
  <si>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</si>
  <si>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</si>
  <si>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</si>
  <si>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</si>
  <si>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</si>
  <si>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</si>
  <si>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</si>
  <si>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</si>
  <si>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</si>
  <si>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</si>
  <si>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</si>
  <si>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</si>
  <si>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</si>
  <si>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</si>
  <si>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</si>
  <si>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</si>
  <si>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</si>
  <si>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</si>
  <si>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</si>
  <si>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</si>
  <si>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</si>
  <si>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</si>
  <si>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</si>
  <si>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</si>
  <si>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</si>
  <si>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</si>
  <si>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</si>
  <si>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</si>
  <si>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</si>
  <si>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</si>
  <si>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</si>
  <si>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</si>
  <si>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</si>
  <si>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</si>
  <si>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</si>
  <si>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</si>
  <si>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</si>
  <si>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</si>
  <si>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</si>
  <si>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</si>
  <si>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</si>
  <si>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</si>
  <si>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</si>
  <si>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</si>
  <si>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</si>
  <si>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</si>
  <si>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</si>
  <si>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</si>
  <si>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</si>
  <si>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</si>
  <si>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</si>
  <si>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</si>
  <si>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</si>
  <si>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</si>
  <si>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</si>
  <si>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</si>
  <si>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</si>
  <si>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</si>
  <si>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</si>
  <si>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</si>
  <si>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</si>
  <si>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</si>
  <si>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</si>
  <si>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</si>
  <si>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</si>
  <si>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</si>
  <si>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</si>
  <si>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</si>
  <si>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</si>
  <si>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</si>
  <si>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</si>
  <si>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</si>
  <si>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</si>
  <si>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</si>
  <si>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</si>
  <si>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</si>
  <si>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</si>
  <si>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</si>
  <si>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</si>
  <si>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</si>
  <si>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</si>
  <si>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</si>
  <si>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</si>
  <si>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</si>
  <si>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</si>
  <si>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</si>
  <si>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</si>
  <si>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</si>
  <si>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</si>
  <si>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</si>
  <si>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</si>
  <si>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</si>
  <si>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</si>
  <si>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</si>
  <si>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</si>
  <si>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</si>
  <si>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</si>
  <si>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</si>
  <si>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</si>
  <si>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</si>
  <si>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</si>
  <si>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</si>
  <si>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</si>
  <si>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</si>
  <si>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</si>
  <si>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</si>
  <si>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</si>
  <si>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</si>
  <si>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</si>
  <si>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</si>
  <si>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</si>
  <si>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</si>
  <si>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</si>
  <si>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</si>
  <si>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</si>
  <si>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</si>
  <si>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</si>
  <si>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</si>
  <si>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</si>
  <si>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</si>
  <si>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</si>
  <si>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</si>
  <si>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</si>
  <si>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</si>
  <si>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</si>
  <si>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</si>
  <si>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</si>
  <si>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</si>
  <si>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</si>
  <si>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</si>
  <si>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</si>
  <si>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</si>
  <si>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</si>
  <si>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</si>
  <si>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</si>
  <si>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</si>
  <si>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</si>
  <si>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</si>
  <si>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</si>
  <si>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</si>
  <si>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</si>
  <si>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</si>
  <si>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</si>
  <si>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</si>
  <si>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</si>
  <si>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</si>
  <si>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</si>
  <si>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</si>
  <si>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</si>
  <si>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</si>
  <si>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</si>
  <si>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</si>
  <si>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</si>
  <si>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</si>
  <si>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</si>
  <si>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</si>
  <si>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</si>
  <si>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</si>
  <si>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</si>
  <si>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</si>
  <si>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</si>
  <si>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</si>
  <si>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</si>
  <si>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</si>
  <si>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</si>
  <si>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</si>
  <si>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</si>
  <si>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</si>
  <si>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</si>
  <si>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</si>
  <si>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</si>
  <si>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</si>
  <si>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</si>
  <si>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</si>
  <si>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</si>
  <si>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</si>
  <si>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</si>
  <si>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</si>
  <si>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</si>
  <si>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</si>
  <si>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</si>
  <si>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</si>
  <si>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</si>
  <si>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</si>
  <si>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</si>
  <si>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</si>
  <si>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</si>
  <si>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</si>
  <si>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</si>
  <si>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</si>
  <si>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</si>
  <si>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</si>
  <si>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</si>
  <si>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</si>
  <si>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</si>
  <si>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</si>
  <si>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</si>
  <si>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</si>
  <si>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</si>
  <si>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</si>
  <si>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</si>
  <si>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</si>
  <si>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</si>
  <si>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</si>
  <si>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</si>
  <si>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</si>
  <si>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</si>
  <si>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</si>
  <si>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</si>
  <si>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</si>
  <si>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</si>
  <si>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</si>
  <si>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</si>
  <si>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</si>
  <si>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</si>
  <si>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</si>
  <si>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</si>
  <si>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</si>
  <si>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</si>
  <si>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</si>
  <si>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</si>
  <si>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</si>
  <si>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</si>
  <si>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</si>
  <si>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</si>
  <si>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</si>
  <si>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</si>
  <si>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</si>
  <si>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</si>
  <si>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</si>
  <si>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</si>
  <si>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</si>
  <si>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</si>
  <si>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</si>
  <si>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</si>
  <si>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</si>
  <si>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</si>
  <si>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</si>
  <si>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</si>
  <si>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</si>
  <si>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</si>
  <si>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</si>
  <si>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</si>
  <si>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</si>
  <si>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</si>
  <si>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</si>
  <si>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</si>
  <si>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</si>
  <si>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</si>
  <si>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</si>
  <si>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</si>
  <si>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</si>
  <si>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</si>
  <si>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</si>
  <si>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</si>
  <si>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</si>
  <si>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</si>
  <si>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</si>
  <si>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</si>
  <si>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</si>
  <si>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</si>
  <si>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</si>
  <si>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</si>
  <si>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</si>
  <si>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</si>
  <si>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</si>
  <si>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</si>
  <si>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</si>
  <si>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</si>
  <si>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</si>
  <si>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</si>
  <si>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</si>
  <si>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</si>
  <si>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</si>
  <si>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</si>
  <si>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</si>
  <si>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</si>
  <si>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</si>
  <si>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</si>
  <si>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</si>
  <si>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</si>
  <si>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</si>
  <si>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</si>
  <si>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</si>
  <si>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</si>
  <si>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</si>
  <si>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</si>
  <si>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</si>
  <si>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</si>
  <si>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</si>
  <si>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</si>
  <si>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</si>
  <si>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</si>
  <si>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</si>
  <si>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</si>
  <si>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</si>
  <si>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</si>
  <si>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</si>
  <si>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</si>
  <si>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</si>
  <si>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</si>
  <si>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</si>
  <si>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</si>
  <si>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</si>
  <si>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</si>
  <si>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</si>
  <si>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</si>
  <si>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</si>
  <si>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</si>
  <si>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</si>
  <si>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</si>
  <si>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</si>
  <si>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</si>
  <si>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</si>
  <si>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</si>
  <si>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</si>
  <si>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</si>
  <si>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</si>
  <si>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</si>
  <si>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</si>
  <si>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</si>
  <si>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</si>
  <si>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</si>
  <si>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</si>
  <si>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</si>
  <si>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</si>
  <si>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</si>
  <si>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</si>
  <si>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</si>
  <si>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</si>
  <si>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</si>
  <si>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</si>
  <si>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</si>
  <si>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</si>
  <si>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</si>
  <si>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</si>
  <si>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</si>
  <si>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</si>
  <si>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</si>
  <si>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</si>
  <si>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</si>
  <si>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</si>
  <si>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</si>
  <si>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</si>
  <si>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</si>
  <si>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</si>
  <si>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</si>
  <si>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</si>
  <si>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</si>
  <si>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</si>
  <si>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</si>
  <si>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</si>
  <si>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</si>
  <si>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</si>
  <si>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</si>
  <si>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</si>
  <si>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</si>
  <si>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</si>
  <si>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</si>
  <si>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</si>
  <si>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</si>
  <si>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</si>
  <si>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</si>
  <si>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</si>
  <si>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</si>
  <si>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</si>
  <si>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</si>
  <si>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</si>
  <si>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</si>
  <si>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</si>
  <si>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</si>
  <si>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</si>
  <si>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</si>
  <si>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</si>
  <si>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</si>
  <si>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</si>
  <si>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</si>
  <si>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</si>
  <si>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</si>
  <si>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</si>
  <si>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</si>
  <si>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</si>
  <si>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</si>
  <si>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</si>
  <si>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</si>
  <si>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</si>
  <si>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</si>
  <si>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</si>
  <si>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</si>
  <si>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</si>
  <si>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</si>
  <si>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</si>
  <si>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</si>
  <si>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</si>
  <si>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</si>
  <si>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</si>
  <si>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</si>
  <si>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</si>
  <si>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</si>
  <si>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</si>
  <si>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</si>
  <si>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</si>
  <si>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</si>
  <si>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</si>
  <si>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</si>
  <si>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</si>
  <si>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</si>
  <si>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</si>
  <si>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</si>
  <si>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</si>
  <si>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</si>
  <si>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</si>
  <si>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</si>
  <si>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</si>
  <si>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</si>
  <si>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</si>
  <si>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</si>
  <si>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</si>
  <si>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</si>
  <si>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</si>
  <si>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</si>
  <si>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</si>
  <si>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</si>
  <si>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</si>
  <si>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</si>
  <si>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</si>
  <si>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</si>
  <si>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</si>
  <si>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</si>
  <si>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</si>
  <si>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</si>
  <si>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</si>
  <si>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</si>
  <si>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</si>
  <si>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</si>
  <si>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</si>
  <si>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</si>
  <si>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</si>
  <si>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</si>
  <si>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</si>
  <si>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</si>
  <si>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</si>
  <si>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</si>
  <si>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</si>
  <si>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</si>
  <si>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</si>
  <si>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</si>
  <si>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</si>
  <si>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</si>
  <si>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</si>
  <si>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</si>
  <si>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</si>
  <si>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</si>
  <si>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</si>
  <si>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</si>
  <si>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</si>
  <si>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</si>
  <si>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</si>
  <si>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</si>
  <si>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</si>
  <si>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</si>
  <si>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</si>
  <si>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</si>
  <si>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</si>
  <si>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</si>
  <si>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</si>
  <si>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</si>
  <si>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</si>
  <si>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</si>
  <si>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</si>
  <si>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</si>
  <si>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</si>
  <si>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</si>
  <si>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</si>
  <si>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</si>
  <si>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</si>
  <si>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</si>
  <si>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</si>
  <si>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</si>
  <si>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</si>
  <si>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</si>
  <si>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</si>
  <si>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</si>
  <si>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</si>
  <si>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</si>
  <si>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</si>
  <si>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</si>
  <si>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</si>
  <si>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</si>
  <si>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</si>
  <si>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</si>
  <si>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</si>
  <si>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</si>
  <si>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</si>
  <si>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</si>
  <si>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</si>
  <si>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</si>
  <si>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</si>
  <si>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</si>
  <si>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</si>
  <si>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</si>
  <si>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</si>
  <si>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</si>
  <si>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</si>
  <si>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</si>
  <si>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</si>
  <si>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</si>
  <si>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</si>
  <si>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</si>
  <si>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</si>
  <si>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</si>
  <si>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</si>
  <si>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</si>
  <si>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</si>
  <si>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</si>
  <si>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</si>
  <si>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</si>
  <si>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</si>
  <si>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</si>
  <si>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</si>
  <si>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</si>
  <si>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</si>
  <si>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</si>
  <si>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</si>
  <si>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</si>
  <si>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</si>
  <si>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</si>
  <si>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</si>
  <si>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</si>
  <si>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</si>
  <si>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</si>
  <si>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</si>
  <si>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</si>
  <si>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</si>
  <si>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</si>
  <si>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</si>
  <si>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</si>
  <si>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</si>
  <si>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</si>
  <si>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</si>
  <si>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</si>
  <si>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</si>
  <si>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</si>
  <si>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</si>
  <si>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</si>
  <si>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</si>
  <si>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</si>
  <si>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</si>
  <si>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</si>
  <si>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</si>
  <si>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</si>
  <si>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</si>
  <si>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</si>
  <si>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</si>
  <si>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</si>
  <si>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</si>
  <si>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</si>
  <si>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</si>
  <si>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</si>
  <si>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</si>
  <si>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</si>
  <si>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</si>
  <si>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</si>
  <si>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</si>
  <si>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</si>
  <si>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</si>
  <si>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</si>
  <si>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</si>
  <si>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</si>
  <si>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</si>
  <si>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</si>
  <si>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</si>
  <si>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</si>
  <si>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</si>
  <si>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</si>
  <si>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</si>
  <si>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</si>
  <si>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</si>
  <si>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</si>
  <si>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</si>
  <si>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</si>
  <si>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</si>
  <si>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</si>
  <si>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</si>
  <si>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</si>
  <si>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</si>
  <si>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</si>
  <si>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</si>
  <si>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</si>
  <si>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</si>
  <si>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</si>
  <si>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</si>
  <si>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</si>
  <si>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</si>
  <si>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</si>
  <si>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</si>
  <si>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</si>
  <si>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</si>
  <si>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</si>
  <si>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</si>
  <si>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</si>
  <si>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</si>
  <si>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</si>
  <si>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</si>
  <si>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</si>
  <si>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</si>
  <si>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</si>
  <si>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</si>
  <si>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</si>
  <si>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</si>
  <si>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</si>
  <si>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</si>
  <si>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</si>
  <si>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</si>
  <si>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</si>
  <si>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</si>
  <si>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</si>
  <si>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</si>
  <si>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</si>
  <si>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</si>
  <si>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</si>
  <si>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</si>
  <si>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</si>
  <si>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</si>
  <si>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</si>
  <si>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</si>
  <si>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</si>
  <si>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</si>
  <si>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</si>
  <si>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</si>
  <si>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</si>
  <si>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</si>
  <si>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</si>
  <si>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</si>
  <si>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</si>
  <si>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</si>
  <si>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</si>
  <si>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</si>
  <si>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</si>
  <si>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</si>
  <si>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</si>
  <si>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</si>
  <si>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</si>
  <si>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</si>
  <si>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</si>
  <si>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</si>
  <si>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</si>
  <si>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</si>
  <si>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</si>
  <si>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</si>
  <si>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</si>
  <si>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</si>
  <si>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</si>
  <si>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</si>
  <si>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</si>
  <si>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</si>
  <si>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</si>
  <si>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</si>
  <si>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</si>
  <si>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</si>
  <si>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</si>
  <si>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</si>
  <si>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</si>
  <si>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</si>
  <si>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</si>
  <si>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</si>
  <si>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</si>
  <si>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</si>
  <si>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</si>
  <si>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</si>
  <si>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</si>
  <si>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</si>
  <si>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</si>
  <si>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</si>
  <si>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</si>
  <si>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</si>
  <si>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</si>
  <si>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</si>
  <si>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</si>
  <si>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</si>
  <si>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</si>
  <si>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</si>
  <si>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</si>
  <si>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</si>
  <si>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</si>
  <si>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</si>
  <si>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</si>
  <si>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</si>
  <si>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</si>
  <si>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</si>
  <si>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</si>
  <si>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</si>
  <si>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</si>
  <si>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</si>
  <si>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</si>
  <si>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</si>
  <si>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</si>
  <si>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</si>
  <si>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</si>
  <si>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</si>
  <si>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</si>
  <si>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</si>
  <si>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</si>
  <si>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</si>
  <si>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</si>
  <si>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</si>
  <si>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</si>
  <si>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</si>
  <si>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</si>
  <si>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</si>
  <si>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</si>
  <si>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</si>
  <si>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</si>
  <si>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</si>
  <si>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</si>
  <si>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</si>
  <si>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</si>
  <si>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</si>
  <si>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</si>
  <si>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</si>
  <si>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</si>
  <si>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</si>
  <si>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</si>
  <si>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</si>
  <si>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</si>
  <si>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</si>
  <si>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</si>
  <si>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</si>
  <si>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</si>
  <si>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</si>
  <si>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</si>
  <si>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</si>
  <si>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</si>
  <si>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</si>
  <si>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</si>
  <si>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</si>
  <si>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</si>
  <si>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</si>
  <si>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</si>
  <si>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</si>
  <si>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</si>
  <si>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</si>
  <si>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</si>
  <si>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</si>
  <si>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</si>
  <si>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</si>
  <si>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</si>
  <si>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</si>
  <si>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</si>
  <si>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</si>
  <si>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</si>
  <si>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</si>
  <si>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</si>
  <si>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</si>
  <si>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</si>
  <si>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</si>
  <si>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</si>
  <si>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</si>
  <si>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</si>
  <si>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</si>
  <si>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</si>
  <si>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</si>
  <si>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</si>
  <si>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</si>
  <si>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</si>
  <si>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</si>
  <si>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</si>
  <si>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</si>
  <si>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</si>
  <si>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</si>
  <si>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</si>
  <si>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</si>
  <si>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</si>
  <si>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</si>
  <si>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</si>
  <si>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</si>
  <si>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</si>
  <si>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</si>
  <si>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</si>
  <si>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</si>
  <si>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</si>
  <si>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</si>
  <si>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</si>
  <si>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</si>
  <si>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</si>
  <si>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</si>
  <si>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</si>
  <si>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</si>
  <si>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</si>
  <si>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</si>
  <si>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</si>
  <si>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</si>
  <si>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</si>
  <si>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</si>
  <si>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</si>
  <si>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</si>
  <si>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</si>
  <si>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</si>
  <si>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</si>
  <si>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</si>
  <si>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</si>
  <si>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</si>
  <si>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</si>
  <si>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</si>
  <si>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</si>
  <si>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</si>
  <si>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</si>
  <si>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</si>
  <si>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</si>
  <si>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</si>
  <si>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</si>
  <si>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</si>
  <si>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</si>
  <si>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</si>
  <si>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</si>
  <si>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</si>
  <si>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</si>
  <si>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</si>
  <si>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</si>
  <si>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</si>
  <si>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</si>
  <si>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</si>
  <si>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</si>
  <si>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</si>
  <si>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</si>
  <si>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</si>
  <si>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</si>
  <si>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</si>
  <si>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</si>
  <si>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</si>
  <si>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</si>
  <si>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</si>
  <si>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</si>
  <si>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</si>
  <si>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</si>
  <si>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</si>
  <si>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</si>
  <si>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</si>
  <si>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</si>
  <si>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</si>
  <si>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</si>
  <si>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</si>
  <si>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</si>
  <si>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</si>
  <si>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</si>
  <si>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</si>
  <si>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</si>
  <si>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</si>
  <si>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</si>
  <si>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</si>
  <si>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</si>
  <si>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</si>
  <si>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</si>
  <si>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</si>
  <si>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</si>
  <si>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</si>
  <si>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</si>
  <si>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</si>
  <si>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</si>
  <si>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</si>
  <si>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</si>
  <si>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</si>
  <si>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</si>
  <si>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</si>
  <si>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</si>
  <si>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</si>
  <si>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</si>
  <si>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</si>
  <si>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</si>
  <si>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</si>
  <si>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</si>
  <si>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</si>
  <si>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</si>
  <si>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</si>
  <si>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</si>
  <si>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</si>
  <si>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</si>
  <si>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</si>
  <si>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</si>
  <si>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</si>
  <si>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</si>
  <si>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</si>
  <si>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</si>
  <si>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</si>
  <si>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</si>
  <si>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</si>
  <si>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</si>
  <si>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</si>
  <si>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</si>
  <si>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</si>
  <si>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</si>
  <si>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</si>
  <si>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</si>
  <si>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</si>
  <si>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</si>
  <si>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</si>
  <si>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</si>
  <si>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</si>
  <si>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</si>
  <si>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</si>
  <si>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</si>
  <si>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</si>
  <si>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</si>
  <si>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</si>
  <si>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</si>
  <si>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</si>
  <si>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</si>
  <si>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</si>
  <si>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</si>
  <si>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</si>
  <si>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</si>
  <si>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</si>
  <si>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</si>
  <si>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</si>
  <si>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</si>
  <si>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</si>
  <si>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</si>
  <si>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</si>
  <si>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</si>
  <si>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</si>
  <si>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</si>
  <si>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</si>
  <si>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</si>
  <si>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</si>
  <si>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</si>
  <si>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</si>
  <si>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</si>
  <si>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</si>
  <si>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</si>
  <si>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</si>
  <si>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</si>
  <si>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</si>
  <si>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</si>
  <si>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</si>
  <si>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</si>
  <si>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</si>
  <si>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</si>
  <si>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</si>
  <si>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</si>
  <si>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</si>
  <si>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</si>
  <si>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</si>
  <si>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</si>
  <si>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</si>
  <si>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</si>
  <si>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</si>
  <si>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</si>
  <si>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</si>
  <si>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</si>
  <si>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</si>
  <si>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</si>
  <si>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</si>
  <si>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</si>
  <si>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</si>
  <si>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</si>
  <si>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</si>
  <si>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</si>
  <si>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</si>
  <si>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</si>
  <si>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</si>
  <si>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</si>
  <si>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</si>
  <si>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</si>
  <si>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</si>
  <si>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</si>
  <si>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</si>
  <si>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</si>
  <si>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</si>
  <si>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</si>
  <si>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</si>
  <si>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</si>
  <si>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</si>
  <si>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</si>
  <si>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</si>
  <si>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</si>
  <si>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</si>
  <si>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</si>
  <si>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</si>
  <si>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</si>
  <si>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</si>
  <si>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</si>
  <si>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</si>
  <si>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</si>
  <si>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</si>
  <si>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</si>
  <si>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</si>
  <si>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</si>
  <si>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</si>
  <si>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</si>
  <si>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</si>
  <si>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</si>
  <si>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</si>
  <si>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</si>
  <si>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</si>
  <si>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</si>
  <si>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</si>
  <si>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</si>
  <si>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</si>
  <si>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</si>
  <si>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</si>
  <si>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</si>
  <si>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</si>
  <si>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</si>
  <si>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</si>
  <si>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</si>
  <si>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</si>
  <si>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</si>
  <si>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</si>
  <si>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</si>
  <si>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</si>
  <si>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</si>
  <si>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</si>
  <si>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</si>
  <si>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</si>
  <si>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</si>
  <si>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</si>
  <si>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</si>
  <si>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</si>
  <si>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</si>
  <si>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</si>
  <si>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</si>
  <si>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</si>
  <si>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</si>
  <si>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</si>
  <si>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</si>
  <si>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</si>
  <si>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</si>
  <si>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</si>
  <si>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</si>
  <si>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</si>
  <si>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</si>
  <si>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</si>
  <si>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</si>
  <si>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</si>
  <si>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</si>
  <si>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</si>
  <si>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</si>
  <si>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</si>
  <si>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</si>
  <si>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</si>
  <si>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</si>
  <si>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</si>
  <si>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</si>
  <si>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</si>
  <si>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</si>
  <si>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</si>
  <si>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</si>
  <si>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</si>
  <si>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</si>
  <si>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</si>
  <si>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</si>
  <si>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</si>
  <si>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</si>
  <si>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</si>
  <si>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</si>
  <si>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</si>
  <si>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</si>
  <si>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</si>
  <si>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</si>
  <si>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</si>
  <si>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</si>
  <si>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</si>
  <si>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</si>
  <si>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</si>
  <si>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</si>
  <si>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</si>
  <si>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</si>
  <si>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</si>
  <si>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</si>
  <si>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</si>
  <si>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</si>
  <si>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</si>
  <si>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</si>
  <si>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</si>
  <si>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</si>
  <si>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</si>
  <si>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</si>
  <si>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</si>
  <si>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</si>
  <si>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</si>
  <si>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</si>
  <si>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</si>
  <si>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</si>
  <si>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</si>
  <si>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</si>
  <si>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</si>
  <si>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</si>
  <si>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</si>
  <si>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</si>
  <si>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</si>
  <si>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</si>
  <si>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</si>
  <si>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</si>
  <si>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</si>
  <si>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</si>
  <si>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</si>
  <si>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</si>
  <si>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</si>
  <si>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</si>
  <si>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</si>
  <si>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</si>
  <si>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</si>
  <si>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</si>
  <si>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</si>
  <si>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</si>
  <si>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</si>
  <si>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</si>
  <si>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</si>
  <si>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</si>
  <si>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</si>
  <si>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</si>
  <si>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</si>
  <si>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</si>
  <si>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</si>
  <si>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</si>
  <si>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</si>
  <si>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</si>
  <si>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</si>
  <si>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</si>
  <si>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</si>
  <si>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</si>
  <si>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</si>
  <si>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</si>
  <si>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</si>
  <si>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</si>
  <si>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</si>
  <si>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</si>
  <si>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</si>
  <si>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</si>
  <si>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</si>
  <si>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</si>
  <si>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</si>
  <si>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</si>
  <si>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</si>
  <si>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</si>
  <si>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</si>
  <si>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</si>
  <si>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</si>
  <si>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</si>
  <si>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</si>
  <si>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</si>
  <si>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</si>
  <si>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</si>
  <si>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</si>
  <si>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</si>
  <si>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</si>
  <si>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</si>
  <si>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</si>
  <si>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</si>
  <si>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</si>
  <si>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</si>
  <si>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</si>
  <si>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</si>
  <si>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</si>
  <si>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</si>
  <si>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</si>
  <si>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</si>
  <si>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</si>
  <si>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</si>
  <si>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</si>
  <si>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</si>
  <si>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</si>
  <si>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</si>
  <si>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</si>
  <si>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</si>
  <si>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</si>
  <si>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</si>
  <si>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</si>
  <si>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</si>
  <si>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</si>
  <si>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</si>
  <si>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</si>
  <si>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</si>
  <si>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</si>
  <si>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</si>
  <si>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</si>
  <si>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</si>
  <si>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</si>
  <si>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</si>
  <si>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</si>
  <si>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</si>
  <si>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</si>
  <si>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</si>
  <si>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</si>
  <si>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</si>
  <si>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</si>
  <si>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</si>
  <si>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</si>
  <si>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</si>
  <si>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</si>
  <si>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</si>
  <si>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</si>
  <si>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</si>
  <si>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</si>
  <si>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</si>
  <si>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</si>
  <si>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</si>
  <si>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</si>
  <si>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</si>
  <si>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</si>
  <si>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</si>
  <si>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</si>
  <si>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</si>
  <si>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</si>
  <si>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</si>
  <si>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</si>
  <si>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</si>
  <si>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</si>
  <si>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</si>
  <si>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</si>
  <si>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</si>
  <si>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</si>
  <si>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</si>
  <si>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</si>
  <si>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</si>
  <si>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</si>
  <si>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</si>
  <si>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</si>
  <si>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</si>
  <si>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</si>
  <si>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</si>
  <si>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</si>
  <si>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</si>
  <si>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</si>
  <si>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</si>
  <si>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</si>
  <si>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</si>
  <si>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</si>
  <si>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</si>
  <si>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</si>
  <si>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</si>
  <si>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</si>
  <si>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</si>
  <si>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</si>
  <si>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</si>
  <si>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</si>
  <si>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</si>
  <si>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</si>
  <si>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</si>
  <si>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</si>
  <si>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</si>
  <si>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</si>
  <si>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</si>
  <si>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</si>
  <si>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</si>
  <si>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</si>
  <si>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</si>
  <si>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</si>
  <si>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</si>
  <si>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</si>
  <si>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</si>
  <si>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</si>
  <si>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</si>
  <si>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</si>
  <si>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</si>
  <si>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</si>
  <si>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</si>
  <si>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</si>
  <si>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</si>
  <si>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</si>
  <si>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</si>
  <si>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</si>
  <si>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</si>
  <si>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</si>
  <si>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</si>
  <si>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</si>
  <si>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</si>
  <si>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</si>
  <si>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</si>
  <si>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</si>
  <si>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</si>
  <si>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</si>
  <si>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</si>
  <si>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</si>
  <si>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</si>
  <si>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</si>
  <si>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</si>
  <si>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</si>
  <si>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</si>
  <si>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</si>
  <si>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</si>
  <si>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</si>
  <si>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</si>
  <si>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</si>
  <si>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</si>
  <si>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</si>
  <si>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</si>
  <si>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</si>
  <si>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</si>
  <si>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</si>
  <si>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</si>
  <si>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</si>
  <si>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</si>
  <si>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</si>
  <si>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</si>
  <si>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</si>
  <si>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</si>
  <si>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</si>
  <si>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</si>
  <si>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</si>
  <si>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</si>
  <si>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</si>
  <si>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</si>
  <si>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</si>
  <si>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</si>
  <si>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</si>
  <si>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</si>
  <si>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</si>
  <si>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</si>
  <si>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</si>
  <si>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</si>
  <si>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</si>
  <si>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</si>
  <si>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</si>
  <si>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</si>
  <si>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</si>
  <si>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</si>
  <si>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</si>
  <si>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</si>
  <si>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</si>
  <si>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</si>
  <si>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</si>
  <si>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</si>
  <si>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</si>
  <si>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</si>
  <si>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</si>
  <si>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</si>
  <si>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</si>
  <si>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</si>
  <si>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</si>
  <si>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</si>
  <si>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</si>
  <si>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</si>
  <si>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</si>
  <si>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</si>
  <si>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</si>
  <si>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</si>
  <si>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</si>
  <si>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</si>
  <si>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</si>
  <si>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</si>
  <si>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</si>
  <si>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</si>
  <si>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</si>
  <si>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</si>
  <si>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</si>
  <si>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</si>
  <si>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</si>
  <si>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</si>
  <si>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</si>
  <si>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</si>
  <si>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</si>
  <si>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</si>
  <si>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</si>
  <si>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</si>
  <si>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</si>
  <si>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</si>
  <si>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</si>
  <si>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</si>
  <si>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</si>
  <si>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</si>
  <si>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</si>
  <si>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</si>
  <si>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</si>
  <si>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</si>
  <si>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</si>
  <si>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</si>
  <si>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</si>
  <si>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</si>
  <si>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</si>
  <si>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</si>
  <si>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</si>
  <si>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</si>
  <si>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</si>
  <si>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</si>
  <si>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</si>
  <si>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</si>
  <si>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</si>
  <si>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</si>
  <si>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</si>
  <si>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</si>
  <si>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</si>
  <si>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</si>
  <si>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</si>
  <si>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</si>
  <si>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</si>
  <si>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</si>
  <si>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</si>
  <si>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</si>
  <si>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</si>
  <si>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</si>
  <si>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</si>
  <si>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</si>
  <si>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</si>
  <si>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</si>
  <si>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</si>
  <si>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</si>
  <si>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</si>
  <si>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</si>
  <si>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</si>
  <si>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</si>
  <si>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</si>
  <si>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</si>
  <si>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</si>
  <si>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</si>
  <si>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</si>
  <si>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</si>
  <si>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</si>
  <si>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</si>
  <si>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</si>
  <si>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</si>
  <si>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</si>
  <si>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</si>
  <si>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</si>
  <si>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</si>
  <si>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</si>
  <si>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</si>
  <si>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</si>
  <si>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</si>
  <si>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</si>
  <si>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</si>
  <si>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</si>
  <si>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</si>
  <si>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</si>
  <si>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</si>
  <si>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</si>
  <si>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</si>
  <si>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</si>
  <si>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</si>
  <si>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</si>
  <si>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</si>
  <si>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</si>
  <si>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</si>
  <si>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</si>
  <si>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</si>
  <si>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</si>
  <si>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</si>
  <si>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</si>
  <si>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</si>
  <si>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</si>
  <si>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</si>
  <si>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</si>
  <si>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</si>
  <si>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</si>
  <si>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</si>
  <si>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</si>
  <si>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</si>
  <si>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</si>
  <si>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</si>
  <si>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</si>
  <si>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</si>
  <si>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</si>
  <si>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</si>
  <si>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</si>
  <si>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</si>
  <si>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</si>
  <si>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</si>
  <si>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</si>
  <si>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</si>
  <si>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</si>
  <si>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</si>
  <si>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</si>
  <si>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</si>
  <si>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</si>
  <si>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</si>
  <si>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</si>
  <si>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</si>
  <si>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</si>
  <si>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</si>
  <si>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</si>
  <si>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</si>
  <si>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</si>
  <si>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</si>
  <si>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</si>
  <si>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</si>
  <si>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</si>
  <si>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</si>
  <si>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</si>
  <si>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</si>
  <si>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</si>
  <si>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</si>
  <si>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</si>
  <si>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</si>
  <si>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</si>
  <si>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</si>
  <si>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</si>
  <si>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</si>
  <si>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</si>
  <si>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</si>
  <si>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</si>
  <si>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</si>
  <si>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</si>
  <si>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</si>
  <si>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</si>
  <si>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</si>
  <si>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</si>
  <si>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</si>
  <si>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</si>
  <si>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</si>
  <si>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</si>
  <si>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</si>
  <si>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</si>
  <si>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</si>
  <si>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</si>
  <si>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</si>
  <si>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</si>
  <si>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</si>
  <si>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</si>
  <si>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</si>
  <si>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</si>
  <si>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</si>
  <si>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</si>
  <si>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</si>
  <si>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</si>
  <si>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</si>
  <si>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</si>
  <si>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</si>
  <si>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</si>
  <si>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</si>
  <si>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</si>
  <si>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</si>
  <si>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</si>
  <si>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</si>
  <si>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</si>
  <si>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</si>
  <si>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</si>
  <si>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</si>
  <si>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</si>
  <si>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</si>
  <si>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</si>
  <si>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</si>
  <si>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</si>
  <si>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</si>
  <si>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</si>
  <si>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</si>
  <si>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</si>
  <si>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</si>
  <si>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</si>
  <si>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</si>
  <si>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</si>
  <si>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</si>
  <si>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</si>
  <si>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</si>
  <si>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</si>
  <si>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</si>
  <si>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</si>
  <si>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</si>
  <si>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</si>
  <si>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</si>
  <si>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</si>
  <si>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</si>
  <si>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</si>
  <si>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</si>
  <si>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</si>
  <si>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</si>
  <si>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</si>
  <si>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</si>
  <si>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</si>
  <si>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</si>
  <si>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</si>
  <si>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</si>
  <si>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</si>
  <si>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</si>
  <si>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</si>
  <si>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</si>
  <si>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</si>
  <si>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</si>
  <si>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</si>
  <si>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</si>
  <si>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</si>
  <si>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</si>
  <si>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</si>
  <si>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</si>
  <si>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</si>
  <si>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</si>
  <si>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</si>
  <si>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</si>
  <si>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</si>
  <si>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</si>
  <si>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</si>
  <si>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</si>
  <si>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</si>
  <si>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</si>
  <si>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</si>
  <si>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</si>
  <si>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</si>
  <si>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</si>
  <si>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</si>
  <si>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</si>
  <si>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</si>
  <si>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</si>
  <si>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</si>
  <si>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</si>
  <si>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</si>
  <si>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</si>
  <si>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</si>
  <si>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</si>
  <si>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</si>
  <si>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</si>
  <si>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</si>
  <si>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</si>
  <si>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</si>
  <si>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</si>
  <si>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</si>
  <si>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</si>
  <si>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</si>
  <si>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</si>
  <si>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</si>
  <si>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</si>
  <si>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</si>
  <si>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</si>
  <si>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</si>
  <si>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</si>
  <si>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</si>
  <si>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</si>
  <si>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</si>
  <si>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</si>
  <si>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</si>
  <si>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</si>
  <si>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</si>
  <si>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</si>
  <si>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</si>
  <si>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</si>
  <si>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</si>
  <si>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</si>
  <si>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</si>
  <si>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</si>
  <si>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</si>
  <si>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</si>
  <si>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</si>
  <si>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</si>
  <si>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</si>
  <si>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</si>
  <si>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</si>
  <si>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</si>
  <si>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</si>
  <si>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</si>
  <si>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</si>
  <si>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</si>
  <si>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</si>
  <si>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</si>
  <si>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</si>
  <si>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</si>
  <si>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</si>
  <si>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</si>
  <si>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</si>
  <si>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</si>
  <si>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</si>
  <si>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</si>
  <si>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</si>
  <si>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</si>
  <si>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</si>
  <si>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</si>
  <si>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</si>
  <si>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</si>
  <si>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</si>
  <si>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</si>
  <si>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</si>
  <si>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</si>
  <si>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</si>
  <si>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</si>
  <si>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</si>
  <si>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</si>
  <si>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</si>
  <si>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</si>
  <si>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</si>
  <si>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</si>
  <si>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</si>
  <si>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</si>
  <si>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</si>
  <si>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</si>
  <si>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</si>
  <si>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</si>
  <si>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</si>
  <si>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</si>
  <si>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</si>
  <si>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</si>
  <si>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</si>
  <si>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</si>
  <si>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</si>
  <si>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</si>
  <si>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</si>
  <si>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</si>
  <si>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</si>
  <si>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</si>
  <si>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</si>
  <si>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</si>
  <si>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</si>
  <si>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</si>
  <si>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</si>
  <si>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</si>
  <si>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</si>
  <si>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</si>
  <si>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</si>
  <si>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</si>
  <si>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</si>
  <si>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</si>
  <si>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</si>
  <si>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</si>
  <si>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</si>
  <si>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</si>
  <si>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</si>
  <si>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</si>
  <si>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</si>
  <si>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</si>
  <si>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</si>
  <si>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</si>
  <si>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</si>
  <si>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</si>
  <si>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</si>
  <si>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</si>
  <si>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</si>
  <si>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</si>
  <si>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</si>
  <si>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</si>
  <si>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</si>
  <si>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</si>
  <si>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</si>
  <si>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</si>
  <si>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</si>
  <si>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</si>
  <si>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</si>
  <si>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</si>
  <si>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</si>
  <si>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</si>
  <si>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</si>
  <si>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</si>
  <si>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</si>
  <si>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</si>
  <si>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</si>
  <si>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</si>
  <si>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</si>
  <si>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</si>
  <si>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</si>
  <si>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</si>
  <si>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</si>
  <si>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</si>
  <si>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</si>
  <si>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</si>
  <si>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</si>
  <si>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</si>
  <si>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</si>
  <si>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</si>
  <si>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</si>
  <si>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</si>
  <si>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</si>
  <si>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</si>
  <si>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</si>
  <si>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</si>
  <si>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</si>
  <si>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</si>
  <si>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</si>
  <si>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</si>
  <si>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</si>
  <si>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</si>
  <si>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</si>
  <si>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</si>
  <si>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</si>
  <si>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</si>
  <si>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</si>
  <si>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</si>
  <si>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</si>
  <si>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</si>
  <si>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</si>
  <si>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</si>
  <si>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</si>
  <si>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</si>
  <si>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</si>
  <si>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</si>
  <si>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</si>
  <si>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</si>
  <si>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</si>
  <si>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</si>
  <si>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</si>
  <si>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</si>
  <si>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</si>
  <si>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</si>
  <si>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</si>
  <si>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</si>
  <si>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</si>
  <si>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</si>
  <si>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</si>
  <si>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</si>
  <si>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</si>
  <si>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</si>
  <si>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</si>
  <si>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</si>
  <si>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</si>
  <si>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</si>
  <si>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</si>
  <si>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</si>
  <si>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</si>
  <si>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</si>
  <si>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</si>
  <si>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</si>
  <si>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</si>
  <si>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</si>
  <si>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</si>
  <si>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</si>
  <si>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</si>
  <si>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</si>
  <si>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</si>
  <si>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</si>
  <si>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</si>
  <si>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</si>
  <si>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</si>
  <si>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</si>
  <si>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</si>
  <si>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</si>
  <si>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</si>
  <si>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</si>
  <si>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</si>
  <si>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</si>
  <si>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</si>
  <si>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</si>
  <si>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</si>
  <si>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</si>
  <si>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</si>
  <si>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</si>
  <si>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</si>
  <si>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</si>
  <si>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</si>
  <si>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</si>
  <si>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</si>
  <si>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</si>
  <si>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</si>
  <si>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</si>
  <si>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</si>
  <si>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</si>
  <si>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</si>
  <si>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</si>
  <si>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</si>
  <si>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</si>
  <si>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</si>
  <si>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</si>
  <si>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</si>
  <si>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</si>
  <si>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</si>
  <si>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</si>
  <si>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</si>
  <si>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</si>
  <si>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</si>
  <si>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</si>
  <si>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</si>
  <si>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</si>
  <si>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</si>
  <si>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</si>
  <si>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</si>
  <si>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</si>
  <si>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</si>
  <si>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</si>
  <si>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</si>
  <si>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</si>
  <si>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</si>
  <si>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</si>
  <si>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</si>
  <si>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</si>
  <si>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</si>
  <si>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</si>
  <si>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</si>
  <si>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</si>
  <si>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</si>
  <si>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</si>
  <si>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</si>
  <si>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</si>
  <si>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</si>
  <si>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</si>
  <si>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</si>
  <si>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</si>
  <si>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</si>
  <si>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</si>
  <si>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</si>
  <si>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</si>
  <si>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</si>
  <si>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</si>
  <si>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</si>
  <si>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</si>
  <si>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</si>
  <si>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</si>
  <si>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</si>
  <si>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</si>
  <si>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</si>
  <si>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</si>
  <si>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</si>
  <si>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</si>
  <si>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</si>
  <si>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</si>
  <si>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</si>
  <si>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</si>
  <si>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</si>
  <si>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</si>
  <si>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</si>
  <si>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</si>
  <si>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</si>
  <si>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</si>
  <si>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</si>
  <si>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</si>
  <si>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</si>
  <si>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</si>
  <si>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</si>
  <si>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</si>
  <si>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</si>
  <si>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</si>
  <si>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</si>
  <si>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</si>
  <si>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</si>
  <si>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</si>
  <si>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</si>
  <si>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</si>
  <si>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</si>
  <si>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</si>
  <si>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</si>
  <si>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</si>
  <si>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</si>
  <si>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</si>
  <si>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</si>
  <si>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</si>
  <si>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</si>
  <si>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</si>
  <si>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</si>
  <si>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</si>
  <si>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</si>
  <si>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</si>
  <si>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</si>
  <si>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</si>
  <si>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</si>
  <si>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</si>
  <si>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</si>
  <si>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</si>
  <si>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</si>
  <si>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</si>
  <si>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</si>
  <si>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</si>
  <si>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</si>
  <si>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</si>
  <si>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</si>
  <si>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</si>
  <si>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</si>
  <si>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</si>
  <si>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</si>
  <si>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</si>
  <si>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</si>
  <si>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</si>
  <si>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</si>
  <si>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</si>
  <si>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</si>
  <si>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</si>
  <si>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</si>
  <si>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</si>
  <si>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</si>
  <si>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</si>
  <si>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</si>
  <si>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</si>
  <si>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</si>
  <si>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</si>
  <si>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</si>
  <si>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</si>
  <si>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</si>
  <si>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</si>
  <si>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</si>
  <si>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</si>
  <si>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</si>
  <si>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</si>
  <si>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</si>
  <si>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</si>
  <si>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</si>
  <si>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</si>
  <si>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</si>
  <si>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</si>
  <si>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</si>
  <si>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</si>
  <si>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</si>
  <si>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</si>
  <si>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</si>
  <si>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</si>
  <si>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</si>
  <si>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</si>
  <si>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</si>
  <si>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</si>
  <si>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</si>
  <si>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</si>
  <si>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</si>
  <si>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</si>
  <si>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</si>
  <si>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</si>
  <si>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</si>
  <si>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</si>
  <si>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</si>
  <si>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</si>
  <si>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</si>
  <si>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</si>
  <si>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</si>
  <si>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</si>
  <si>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</si>
  <si>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</si>
  <si>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</si>
  <si>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</si>
  <si>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</si>
  <si>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</si>
  <si>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</si>
  <si>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</si>
  <si>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</si>
  <si>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</si>
  <si>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</si>
  <si>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</si>
  <si>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</si>
  <si>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</si>
  <si>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</si>
  <si>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</si>
  <si>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</si>
  <si>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</si>
  <si>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</si>
  <si>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</si>
  <si>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</si>
  <si>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</si>
  <si>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</si>
  <si>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</si>
  <si>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</si>
  <si>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</si>
  <si>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</si>
  <si>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</si>
  <si>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</si>
  <si>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</si>
  <si>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</si>
  <si>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</si>
  <si>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</si>
  <si>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</si>
  <si>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</si>
  <si>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</si>
  <si>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</si>
  <si>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</si>
  <si>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</si>
  <si>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</si>
  <si>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</si>
  <si>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</si>
  <si>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</si>
  <si>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</si>
  <si>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</si>
  <si>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</si>
  <si>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</si>
  <si>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</si>
  <si>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</si>
  <si>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</si>
  <si>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</si>
  <si>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</si>
  <si>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</si>
  <si>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</si>
  <si>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</si>
  <si>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</si>
  <si>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</si>
  <si>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</si>
  <si>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</si>
  <si>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</si>
  <si>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</si>
  <si>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</si>
  <si>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</si>
  <si>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</si>
  <si>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</si>
  <si>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</si>
  <si>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</si>
  <si>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</si>
  <si>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</si>
  <si>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</si>
  <si>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</si>
  <si>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</si>
  <si>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</si>
  <si>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</si>
  <si>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</si>
  <si>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</si>
  <si>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</si>
  <si>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</si>
  <si>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</si>
  <si>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</si>
  <si>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</si>
  <si>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</si>
  <si>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</si>
  <si>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</si>
  <si>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</si>
  <si>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</si>
  <si>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</si>
  <si>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</si>
  <si>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</si>
  <si>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</si>
  <si>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</si>
  <si>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</si>
  <si>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</si>
  <si>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</si>
  <si>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</si>
  <si>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</si>
  <si>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</si>
  <si>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</si>
  <si>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</si>
  <si>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</si>
  <si>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</si>
  <si>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</si>
  <si>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</si>
  <si>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</si>
  <si>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</si>
  <si>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</si>
  <si>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</si>
  <si>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</si>
  <si>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</si>
  <si>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</si>
  <si>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</si>
  <si>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</si>
  <si>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</si>
  <si>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</si>
  <si>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</si>
  <si>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</si>
  <si>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</si>
  <si>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</si>
  <si>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</si>
  <si>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</si>
  <si>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</si>
  <si>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</si>
  <si>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</si>
  <si>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</si>
  <si>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</si>
  <si>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</si>
  <si>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</si>
  <si>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</si>
  <si>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</si>
  <si>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</si>
  <si>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</si>
  <si>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</si>
  <si>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</si>
  <si>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</si>
  <si>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</si>
  <si>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</si>
  <si>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</si>
  <si>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</si>
  <si>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</si>
  <si>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</si>
  <si>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</si>
  <si>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</si>
  <si>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</si>
  <si>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</si>
  <si>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</si>
  <si>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</si>
  <si>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</si>
  <si>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</si>
  <si>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</si>
  <si>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</si>
  <si>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</si>
  <si>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</si>
  <si>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</si>
  <si>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</si>
  <si>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</si>
  <si>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</si>
  <si>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</si>
  <si>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</si>
  <si>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</si>
  <si>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</si>
  <si>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</si>
  <si>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</si>
  <si>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</si>
  <si>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</si>
  <si>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</si>
  <si>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</si>
  <si>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</si>
  <si>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</si>
  <si>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</si>
  <si>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</si>
  <si>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</si>
  <si>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</si>
  <si>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</si>
  <si>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</si>
  <si>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</si>
  <si>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</si>
  <si>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</si>
  <si>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</si>
  <si>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</si>
  <si>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</si>
  <si>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</si>
  <si>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</si>
  <si>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</si>
  <si>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</si>
  <si>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</si>
  <si>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</si>
  <si>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</si>
  <si>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</si>
  <si>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</si>
  <si>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</si>
  <si>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</si>
  <si>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</si>
  <si>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</si>
  <si>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</si>
  <si>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</si>
  <si>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</si>
  <si>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</si>
  <si>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</si>
  <si>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</si>
  <si>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</si>
  <si>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</si>
  <si>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</si>
  <si>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</si>
  <si>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</si>
  <si>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</si>
  <si>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</si>
  <si>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</si>
  <si>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</si>
  <si>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</si>
  <si>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</si>
  <si>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</si>
  <si>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</si>
  <si>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</si>
  <si>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</si>
  <si>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</si>
  <si>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</si>
  <si>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</si>
  <si>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</si>
  <si>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</si>
  <si>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</si>
  <si>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</si>
  <si>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</si>
  <si>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</si>
  <si>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</si>
  <si>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</si>
  <si>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</si>
  <si>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</si>
  <si>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</si>
  <si>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</si>
  <si>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</si>
  <si>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</si>
  <si>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</si>
  <si>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</si>
  <si>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</si>
  <si>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</si>
  <si>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</si>
  <si>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</si>
  <si>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</si>
  <si>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</si>
  <si>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</si>
  <si>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</si>
  <si>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</si>
  <si>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</si>
  <si>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</si>
  <si>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</si>
  <si>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</si>
  <si>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</si>
  <si>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</si>
  <si>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</si>
  <si>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</si>
  <si>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</si>
  <si>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</si>
  <si>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</si>
  <si>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</si>
  <si>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</si>
  <si>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</si>
  <si>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</si>
  <si>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</si>
  <si>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</si>
  <si>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</si>
  <si>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</si>
  <si>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</si>
  <si>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</si>
  <si>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</si>
  <si>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</si>
  <si>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</si>
  <si>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</si>
  <si>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</si>
  <si>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</si>
  <si>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</si>
  <si>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</si>
  <si>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</si>
  <si>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</si>
  <si>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</si>
  <si>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</si>
  <si>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</si>
  <si>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</si>
  <si>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</si>
  <si>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</si>
  <si>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</si>
  <si>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</si>
  <si>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</si>
  <si>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</si>
  <si>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</si>
  <si>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</si>
  <si>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</si>
  <si>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</si>
  <si>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</si>
  <si>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</si>
  <si>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</si>
  <si>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</si>
  <si>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</si>
  <si>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</si>
  <si>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</si>
  <si>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</si>
  <si>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</si>
  <si>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</si>
  <si>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</si>
  <si>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</si>
  <si>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</si>
  <si>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</si>
  <si>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</si>
  <si>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</si>
  <si>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</si>
  <si>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</si>
  <si>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</si>
  <si>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</si>
  <si>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</si>
  <si>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</si>
  <si>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</si>
  <si>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</si>
  <si>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</si>
  <si>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</si>
  <si>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</si>
  <si>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</si>
  <si>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</si>
  <si>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</si>
  <si>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</si>
  <si>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</si>
  <si>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</si>
  <si>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</si>
  <si>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</si>
  <si>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</si>
  <si>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</si>
  <si>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</si>
  <si>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</si>
  <si>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</si>
  <si>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</si>
  <si>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</si>
  <si>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</si>
  <si>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</si>
  <si>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</si>
  <si>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</si>
  <si>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</si>
  <si>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</si>
  <si>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</si>
  <si>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</si>
  <si>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</si>
  <si>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</si>
  <si>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</si>
  <si>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</si>
  <si>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</si>
  <si>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</si>
  <si>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</si>
  <si>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</si>
  <si>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</si>
  <si>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</si>
  <si>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</si>
  <si>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</si>
  <si>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</si>
  <si>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</si>
  <si>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</si>
  <si>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</si>
  <si>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</si>
  <si>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</si>
  <si>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</si>
  <si>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</si>
  <si>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</si>
  <si>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</si>
  <si>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</si>
  <si>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</si>
  <si>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</si>
  <si>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</si>
  <si>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</si>
  <si>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</si>
  <si>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</si>
  <si>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</si>
  <si>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</si>
  <si>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</si>
  <si>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</si>
  <si>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</si>
  <si>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</si>
  <si>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</si>
  <si>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</si>
  <si>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</si>
  <si>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</si>
  <si>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</si>
  <si>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</si>
  <si>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</si>
  <si>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</si>
  <si>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</si>
  <si>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</si>
  <si>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</si>
  <si>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</si>
  <si>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</si>
  <si>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</si>
  <si>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</si>
  <si>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</si>
  <si>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</si>
  <si>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</si>
  <si>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</si>
  <si>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</si>
  <si>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</si>
  <si>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</si>
  <si>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</si>
  <si>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</si>
  <si>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</si>
  <si>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</si>
  <si>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</si>
  <si>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</si>
  <si>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</si>
  <si>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</si>
  <si>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</si>
  <si>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</si>
  <si>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</si>
  <si>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</si>
  <si>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</si>
  <si>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</si>
  <si>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</si>
  <si>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</si>
  <si>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</si>
  <si>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</si>
  <si>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</si>
  <si>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</si>
  <si>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</si>
  <si>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</si>
  <si>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</si>
  <si>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</si>
  <si>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</si>
  <si>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</si>
  <si>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</si>
  <si>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</si>
  <si>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</si>
  <si>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</si>
  <si>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</si>
  <si>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</si>
  <si>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</si>
  <si>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</si>
  <si>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</si>
  <si>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</si>
  <si>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</si>
  <si>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</si>
  <si>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</si>
  <si>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</si>
  <si>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</si>
  <si>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</si>
  <si>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</si>
  <si>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</si>
  <si>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</si>
  <si>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</si>
  <si>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</si>
  <si>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</si>
  <si>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</si>
  <si>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</si>
  <si>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</si>
  <si>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</si>
  <si>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</si>
  <si>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</si>
  <si>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</si>
  <si>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</si>
  <si>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</si>
  <si>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</si>
  <si>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</si>
  <si>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</si>
  <si>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</si>
  <si>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</si>
  <si>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</si>
  <si>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</si>
  <si>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</si>
  <si>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</si>
  <si>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</si>
  <si>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</si>
  <si>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</si>
  <si>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</si>
  <si>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</si>
  <si>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</si>
  <si>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</si>
  <si>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</si>
  <si>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</si>
  <si>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</si>
  <si>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</si>
  <si>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</si>
  <si>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</si>
  <si>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</si>
  <si>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</si>
  <si>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</si>
  <si>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</si>
  <si>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</si>
  <si>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</si>
  <si>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</si>
  <si>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</si>
  <si>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</si>
  <si>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</si>
  <si>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</si>
  <si>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</si>
  <si>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</si>
  <si>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</si>
  <si>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</si>
  <si>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</si>
  <si>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</si>
  <si>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</si>
  <si>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</si>
  <si>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</si>
  <si>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</si>
  <si>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</si>
  <si>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</si>
  <si>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</si>
  <si>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</si>
  <si>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</si>
  <si>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</si>
  <si>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</si>
  <si>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</si>
  <si>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</si>
  <si>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</si>
  <si>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</si>
  <si>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</si>
  <si>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</si>
  <si>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</si>
  <si>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</si>
  <si>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</si>
  <si>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</si>
  <si>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</si>
  <si>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</si>
  <si>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</si>
  <si>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</si>
  <si>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</si>
  <si>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</si>
  <si>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</si>
  <si>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</si>
  <si>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</si>
  <si>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</si>
  <si>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</si>
  <si>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</si>
  <si>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</si>
  <si>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</si>
  <si>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</si>
  <si>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</si>
  <si>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</si>
  <si>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</si>
  <si>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</si>
  <si>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</si>
  <si>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</si>
  <si>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</si>
  <si>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</si>
  <si>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</si>
  <si>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</si>
  <si>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</si>
  <si>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</si>
  <si>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</si>
  <si>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</si>
  <si>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</si>
  <si>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</si>
  <si>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</si>
  <si>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</si>
  <si>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</si>
  <si>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</si>
  <si>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</si>
  <si>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</si>
  <si>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</si>
  <si>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</si>
  <si>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</si>
  <si>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</si>
  <si>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</si>
  <si>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</si>
  <si>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</si>
  <si>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</si>
  <si>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</si>
  <si>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</si>
  <si>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</si>
  <si>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</si>
  <si>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</si>
  <si>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</si>
  <si>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</si>
  <si>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</si>
  <si>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</si>
  <si>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</si>
  <si>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</si>
  <si>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</si>
  <si>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</si>
  <si>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</si>
  <si>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</si>
  <si>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</si>
  <si>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</si>
  <si>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</si>
  <si>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</si>
  <si>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</si>
  <si>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</si>
  <si>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</si>
  <si>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</si>
  <si>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</si>
  <si>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</si>
  <si>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</si>
  <si>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</si>
  <si>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</si>
  <si>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</si>
  <si>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</si>
  <si>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</si>
  <si>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</si>
  <si>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</si>
  <si>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</si>
  <si>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</si>
  <si>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</si>
  <si>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</si>
  <si>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</si>
  <si>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</si>
  <si>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</si>
  <si>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</si>
  <si>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</si>
  <si>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</si>
  <si>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</si>
  <si>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</si>
  <si>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</si>
  <si>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</si>
  <si>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</si>
  <si>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</si>
  <si>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</si>
  <si>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</si>
  <si>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</si>
  <si>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</si>
  <si>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</si>
  <si>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</si>
  <si>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</si>
  <si>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</si>
  <si>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</si>
  <si>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</si>
  <si>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</si>
  <si>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</si>
  <si>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</si>
  <si>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</si>
  <si>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</si>
  <si>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</si>
  <si>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</si>
  <si>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</si>
  <si>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</si>
  <si>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</si>
  <si>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</si>
  <si>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</si>
  <si>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</si>
  <si>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</si>
  <si>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</si>
  <si>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</si>
  <si>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</si>
  <si>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</si>
  <si>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</si>
  <si>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</si>
  <si>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</si>
  <si>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</si>
  <si>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</si>
  <si>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</si>
  <si>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</si>
  <si>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</si>
  <si>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</si>
  <si>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</si>
  <si>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</si>
  <si>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</si>
  <si>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</si>
  <si>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</si>
  <si>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</si>
  <si>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</si>
  <si>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</si>
  <si>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</si>
  <si>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</si>
  <si>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</si>
  <si>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</si>
  <si>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</si>
  <si>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</si>
  <si>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</si>
  <si>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</si>
  <si>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</si>
  <si>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</si>
  <si>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</si>
  <si>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</si>
  <si>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</si>
  <si>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</si>
  <si>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</si>
  <si>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</si>
  <si>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</si>
  <si>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</si>
  <si>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</si>
  <si>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</si>
  <si>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</si>
  <si>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</si>
  <si>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</si>
  <si>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</si>
  <si>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</si>
  <si>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</si>
  <si>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</si>
  <si>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</si>
  <si>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</si>
  <si>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</si>
  <si>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</si>
  <si>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</si>
  <si>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</si>
  <si>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</si>
  <si>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</si>
  <si>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</si>
  <si>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</si>
  <si>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</si>
  <si>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</si>
  <si>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</si>
  <si>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</si>
  <si>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</si>
  <si>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</si>
  <si>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</si>
  <si>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</si>
  <si>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</si>
  <si>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</si>
  <si>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</si>
  <si>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</si>
  <si>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</si>
  <si>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</si>
  <si>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</si>
  <si>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</si>
  <si>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</si>
  <si>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</si>
  <si>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</si>
  <si>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</si>
  <si>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</si>
  <si>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</si>
  <si>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</si>
  <si>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</si>
  <si>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</si>
  <si>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</si>
  <si>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</si>
  <si>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</si>
  <si>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</si>
  <si>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</si>
  <si>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</si>
  <si>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</si>
  <si>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</si>
  <si>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</si>
  <si>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</si>
  <si>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</si>
  <si>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</si>
  <si>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</si>
  <si>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</si>
  <si>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</si>
  <si>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</si>
  <si>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</si>
  <si>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</si>
  <si>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</si>
  <si>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</si>
  <si>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</si>
  <si>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</si>
  <si>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</si>
  <si>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</si>
  <si>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</si>
  <si>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</si>
  <si>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</si>
  <si>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</si>
  <si>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</si>
  <si>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</si>
  <si>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</si>
  <si>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</si>
  <si>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</si>
  <si>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</si>
  <si>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</si>
  <si>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</si>
  <si>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</si>
  <si>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</si>
  <si>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</si>
  <si>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</si>
  <si>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</si>
  <si>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</si>
  <si>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</si>
  <si>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</si>
  <si>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</si>
  <si>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</si>
  <si>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</si>
  <si>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</si>
  <si>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</si>
  <si>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</si>
  <si>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</si>
  <si>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</si>
  <si>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</si>
  <si>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</si>
  <si>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</si>
  <si>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</si>
  <si>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</si>
  <si>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</si>
  <si>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</si>
  <si>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</si>
  <si>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</si>
  <si>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</si>
  <si>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</si>
  <si>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</si>
  <si>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</si>
  <si>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</si>
  <si>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</si>
  <si>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</si>
  <si>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</si>
  <si>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</si>
  <si>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</si>
  <si>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</si>
  <si>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</si>
  <si>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</si>
  <si>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</si>
  <si>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</si>
  <si>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</si>
  <si>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</si>
  <si>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</si>
  <si>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</si>
  <si>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</si>
  <si>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</si>
  <si>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</si>
  <si>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</si>
  <si>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</si>
  <si>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</si>
  <si>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</si>
  <si>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</si>
  <si>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</si>
  <si>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</si>
  <si>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</si>
  <si>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</si>
  <si>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</si>
  <si>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</si>
  <si>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</si>
  <si>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</si>
  <si>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</si>
  <si>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</si>
  <si>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</si>
  <si>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</si>
  <si>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</si>
  <si>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</si>
  <si>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</si>
  <si>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</si>
  <si>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</si>
  <si>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</si>
  <si>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</si>
  <si>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</si>
  <si>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</si>
  <si>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</si>
  <si>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</si>
  <si>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</si>
  <si>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</si>
  <si>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</si>
  <si>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</si>
  <si>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</si>
  <si>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</si>
  <si>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</si>
  <si>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</si>
  <si>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</si>
  <si>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</si>
  <si>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</si>
  <si>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</si>
  <si>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</si>
  <si>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</si>
  <si>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</si>
  <si>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</si>
  <si>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</si>
  <si>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</si>
  <si>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</si>
  <si>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</si>
  <si>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</si>
  <si>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</si>
  <si>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</si>
  <si>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</si>
  <si>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</si>
  <si>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</si>
  <si>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</si>
  <si>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</si>
  <si>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</si>
  <si>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</si>
  <si>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</si>
  <si>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</si>
  <si>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</si>
  <si>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</si>
  <si>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</si>
  <si>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</si>
  <si>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</si>
  <si>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</si>
  <si>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</si>
  <si>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</si>
  <si>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</si>
  <si>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</si>
  <si>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</si>
  <si>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</si>
  <si>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</si>
  <si>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</si>
  <si>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</si>
  <si>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</si>
  <si>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</si>
  <si>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</si>
  <si>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</si>
  <si>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</si>
  <si>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</si>
  <si>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</si>
  <si>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</si>
  <si>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</si>
  <si>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</si>
  <si>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</si>
  <si>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</si>
  <si>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</si>
  <si>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</si>
  <si>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</si>
  <si>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</si>
  <si>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</si>
  <si>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</si>
  <si>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</si>
  <si>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</si>
  <si>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</si>
  <si>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</si>
  <si>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</si>
  <si>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</si>
  <si>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</si>
  <si>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</si>
  <si>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</si>
  <si>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</si>
  <si>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</si>
  <si>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</si>
  <si>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</si>
  <si>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</si>
  <si>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</si>
  <si>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</si>
  <si>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</si>
  <si>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</si>
  <si>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</si>
  <si>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</si>
  <si>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</si>
  <si>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</si>
  <si>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</si>
  <si>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</si>
  <si>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</si>
  <si>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</si>
  <si>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</si>
  <si>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</si>
  <si>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</si>
  <si>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</si>
  <si>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</si>
  <si>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</si>
  <si>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</si>
  <si>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</si>
  <si>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</si>
  <si>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</si>
  <si>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</si>
  <si>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</si>
  <si>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</si>
  <si>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</si>
  <si>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</si>
  <si>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</si>
  <si>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</si>
  <si>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</si>
  <si>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</si>
  <si>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</si>
  <si>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</si>
  <si>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</si>
  <si>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</si>
  <si>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</si>
  <si>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</si>
  <si>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</si>
  <si>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</si>
  <si>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</si>
  <si>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</si>
  <si>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</si>
  <si>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</si>
  <si>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</si>
  <si>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</si>
  <si>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</si>
  <si>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</si>
  <si>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</si>
  <si>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</si>
  <si>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</si>
  <si>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</si>
  <si>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</si>
  <si>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</si>
  <si>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</si>
  <si>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</si>
  <si>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</si>
  <si>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</si>
  <si>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</si>
  <si>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</si>
  <si>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</si>
  <si>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</si>
  <si>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</si>
  <si>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</si>
  <si>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</si>
  <si>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</si>
  <si>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</si>
  <si>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</si>
  <si>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</si>
  <si>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</si>
  <si>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</si>
  <si>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</si>
  <si>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</si>
  <si>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</si>
  <si>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</si>
  <si>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</si>
  <si>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</si>
  <si>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</si>
  <si>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</si>
  <si>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</si>
  <si>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</si>
  <si>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</si>
  <si>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</si>
  <si>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</si>
  <si>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</si>
  <si>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</si>
  <si>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</si>
  <si>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</si>
  <si>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</si>
  <si>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</si>
  <si>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</si>
  <si>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</si>
  <si>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</si>
  <si>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</si>
  <si>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</si>
  <si>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</si>
  <si>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</si>
  <si>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</si>
  <si>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</si>
  <si>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</si>
  <si>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</si>
  <si>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</si>
  <si>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</si>
  <si>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</si>
  <si>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</si>
  <si>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</si>
  <si>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</si>
  <si>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</si>
  <si>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</si>
  <si>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</si>
  <si>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</si>
  <si>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</si>
  <si>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</si>
  <si>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</si>
  <si>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</si>
  <si>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</si>
  <si>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</si>
  <si>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</si>
  <si>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</si>
  <si>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</si>
  <si>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</si>
  <si>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</si>
  <si>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</si>
  <si>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</si>
  <si>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</si>
  <si>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</si>
  <si>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</si>
  <si>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</si>
  <si>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</si>
  <si>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</si>
  <si>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</si>
  <si>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</si>
  <si>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</si>
  <si>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</si>
  <si>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</si>
  <si>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</si>
  <si>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</si>
  <si>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</si>
  <si>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</si>
  <si>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</si>
  <si>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</si>
  <si>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</si>
  <si>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</si>
  <si>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</si>
  <si>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</si>
  <si>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</si>
  <si>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</si>
  <si>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</si>
  <si>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</si>
  <si>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</si>
  <si>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</si>
  <si>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</si>
  <si>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</si>
  <si>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</si>
  <si>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</si>
  <si>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</si>
  <si>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</si>
  <si>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</si>
  <si>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</si>
  <si>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</si>
  <si>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</si>
  <si>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</si>
  <si>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</si>
  <si>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</si>
  <si>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</si>
  <si>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</si>
  <si>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</si>
  <si>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</si>
  <si>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</si>
  <si>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</si>
  <si>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</si>
  <si>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</si>
  <si>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</si>
  <si>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</si>
  <si>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</si>
  <si>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</si>
  <si>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</si>
  <si>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</si>
  <si>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</si>
  <si>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</si>
  <si>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</si>
  <si>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</si>
  <si>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</si>
  <si>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</si>
  <si>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</si>
  <si>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</si>
  <si>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</si>
  <si>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</si>
  <si>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</si>
  <si>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</si>
  <si>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</si>
  <si>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</si>
  <si>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</si>
  <si>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</si>
  <si>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</si>
  <si>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</si>
  <si>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</si>
  <si>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</si>
  <si>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</si>
  <si>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</si>
  <si>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</si>
  <si>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</si>
  <si>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</si>
  <si>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</si>
  <si>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</si>
  <si>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</si>
  <si>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</si>
  <si>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</si>
  <si>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</si>
  <si>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</si>
  <si>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</si>
  <si>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</si>
  <si>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</si>
  <si>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</si>
  <si>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</si>
  <si>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</si>
  <si>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</si>
  <si>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</si>
  <si>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</si>
  <si>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</si>
  <si>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</si>
  <si>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</si>
  <si>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</si>
  <si>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</si>
  <si>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</si>
  <si>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</si>
  <si>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</si>
  <si>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</si>
  <si>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</si>
  <si>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</si>
  <si>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</si>
  <si>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</si>
  <si>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</si>
  <si>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</si>
  <si>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</si>
  <si>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</si>
  <si>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</si>
  <si>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</si>
  <si>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</si>
  <si>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</si>
  <si>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</si>
  <si>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</si>
  <si>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</si>
  <si>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</si>
  <si>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</si>
  <si>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</si>
  <si>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</si>
  <si>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</si>
  <si>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</si>
  <si>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</si>
  <si>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</si>
  <si>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</si>
  <si>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</si>
  <si>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</si>
  <si>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</si>
  <si>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</si>
  <si>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</si>
  <si>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</si>
  <si>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</si>
  <si>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</si>
  <si>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</si>
  <si>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</si>
  <si>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</si>
  <si>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</si>
  <si>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</si>
  <si>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</si>
  <si>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</si>
  <si>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</si>
  <si>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</si>
  <si>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</si>
  <si>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</si>
  <si>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</si>
  <si>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</si>
  <si>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</si>
  <si>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</si>
  <si>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</si>
  <si>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</si>
  <si>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</si>
  <si>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</si>
  <si>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</si>
  <si>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</si>
  <si>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</si>
  <si>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</si>
  <si>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</si>
  <si>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</si>
  <si>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</si>
  <si>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</si>
  <si>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</si>
  <si>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</si>
  <si>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</si>
  <si>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</si>
  <si>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</si>
  <si>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</si>
  <si>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</si>
  <si>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</si>
  <si>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</si>
  <si>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</si>
  <si>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</si>
  <si>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</si>
  <si>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</si>
  <si>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</si>
  <si>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</si>
  <si>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</si>
  <si>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</si>
  <si>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</si>
  <si>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</si>
  <si>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</si>
  <si>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</si>
  <si>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</si>
  <si>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</si>
  <si>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</si>
  <si>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</si>
  <si>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</si>
  <si>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</si>
  <si>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</si>
  <si>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</si>
  <si>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</si>
  <si>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</si>
  <si>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</si>
  <si>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</si>
  <si>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</si>
  <si>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</si>
  <si>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</si>
  <si>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</si>
  <si>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</si>
  <si>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</si>
  <si>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</si>
  <si>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</si>
  <si>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</si>
  <si>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</si>
  <si>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</si>
  <si>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</si>
  <si>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</si>
  <si>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</si>
  <si>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</si>
  <si>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</si>
  <si>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</si>
  <si>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</si>
  <si>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</si>
  <si>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</si>
  <si>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</si>
  <si>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</si>
  <si>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</si>
  <si>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</si>
  <si>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</si>
  <si>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</si>
  <si>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</si>
  <si>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</si>
  <si>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</si>
  <si>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</si>
  <si>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</si>
  <si>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</si>
  <si>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</si>
  <si>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</si>
  <si>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</si>
  <si>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</si>
  <si>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</si>
  <si>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</si>
  <si>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</si>
  <si>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</si>
  <si>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</si>
  <si>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</si>
  <si>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</si>
  <si>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</si>
  <si>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</si>
  <si>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</si>
  <si>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</si>
  <si>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</si>
  <si>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</si>
  <si>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</si>
  <si>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</si>
  <si>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</si>
  <si>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</si>
  <si>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</si>
  <si>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</si>
  <si>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</si>
  <si>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</si>
  <si>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</si>
  <si>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</si>
  <si>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</si>
  <si>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</si>
  <si>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</si>
  <si>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</si>
  <si>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</si>
  <si>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</si>
  <si>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</si>
  <si>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</si>
  <si>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</si>
  <si>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</si>
  <si>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</si>
  <si>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</si>
  <si>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</si>
  <si>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</si>
  <si>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</si>
  <si>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</si>
  <si>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</si>
  <si>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</si>
  <si>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</si>
  <si>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</si>
  <si>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</si>
  <si>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</si>
  <si>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</si>
  <si>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</si>
  <si>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</si>
  <si>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</si>
  <si>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</si>
  <si>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</si>
  <si>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</si>
  <si>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</si>
  <si>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</si>
  <si>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</si>
  <si>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</si>
  <si>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</si>
  <si>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</si>
  <si>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</si>
  <si>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</si>
  <si>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</si>
  <si>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</si>
  <si>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</si>
  <si>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</si>
  <si>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</si>
  <si>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</si>
  <si>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</si>
  <si>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</si>
  <si>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</si>
  <si>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</si>
  <si>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</si>
  <si>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</si>
  <si>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</si>
  <si>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</si>
  <si>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</si>
  <si>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</si>
  <si>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</si>
  <si>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</si>
  <si>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</si>
  <si>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</si>
  <si>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</si>
  <si>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</si>
  <si>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</si>
  <si>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</si>
  <si>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</si>
  <si>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</si>
  <si>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</si>
  <si>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</si>
  <si>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</si>
  <si>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</si>
  <si>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</si>
  <si>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</si>
  <si>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</si>
  <si>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</si>
  <si>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</si>
  <si>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</si>
  <si>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</si>
  <si>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</si>
  <si>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</si>
  <si>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</si>
  <si>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</si>
  <si>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</si>
  <si>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</si>
  <si>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</si>
  <si>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</si>
  <si>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</si>
  <si>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</si>
  <si>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</si>
  <si>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</si>
  <si>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</si>
  <si>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</si>
  <si>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</si>
  <si>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</si>
  <si>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</si>
  <si>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</si>
  <si>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</si>
  <si>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</si>
  <si>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</si>
  <si>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</si>
  <si>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</si>
  <si>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</si>
  <si>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</si>
  <si>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</si>
  <si>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</si>
  <si>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</si>
  <si>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</si>
  <si>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</si>
  <si>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</si>
  <si>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</si>
  <si>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</si>
  <si>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</si>
  <si>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</si>
  <si>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</si>
  <si>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</si>
  <si>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</si>
  <si>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</si>
  <si>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</si>
  <si>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</si>
  <si>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</si>
  <si>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</si>
  <si>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</si>
  <si>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</si>
  <si>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</si>
  <si>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</si>
  <si>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</si>
  <si>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</si>
  <si>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</si>
  <si>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</si>
  <si>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</si>
  <si>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</si>
  <si>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</si>
  <si>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</si>
  <si>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</si>
  <si>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</si>
  <si>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</si>
  <si>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</si>
  <si>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</si>
  <si>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</si>
  <si>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</si>
  <si>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</si>
  <si>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</si>
  <si>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</si>
  <si>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</si>
  <si>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</si>
  <si>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</si>
  <si>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</si>
  <si>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</si>
  <si>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</si>
  <si>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</si>
  <si>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</si>
  <si>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</si>
  <si>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</si>
  <si>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</si>
  <si>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</si>
  <si>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</si>
  <si>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</si>
  <si>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</si>
  <si>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</si>
  <si>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</si>
  <si>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</si>
  <si>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</si>
  <si>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</si>
  <si>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</si>
  <si>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</si>
  <si>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</si>
  <si>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</si>
  <si>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</si>
  <si>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</si>
  <si>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</si>
  <si>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</si>
  <si>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</si>
  <si>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</si>
  <si>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</si>
  <si>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</si>
  <si>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</si>
  <si>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</si>
  <si>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</si>
  <si>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</si>
  <si>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</si>
  <si>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</si>
  <si>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</si>
  <si>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</si>
  <si>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</si>
  <si>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</si>
  <si>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</si>
  <si>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</si>
  <si>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</si>
  <si>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</si>
  <si>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</si>
  <si>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</si>
  <si>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</si>
  <si>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</si>
  <si>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</si>
  <si>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</si>
  <si>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</si>
  <si>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</si>
  <si>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</si>
  <si>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</si>
  <si>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</si>
  <si>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</si>
  <si>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</si>
  <si>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</si>
  <si>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</si>
  <si>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</si>
  <si>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</si>
  <si>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</si>
  <si>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</si>
  <si>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</si>
  <si>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</si>
  <si>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</si>
  <si>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</si>
  <si>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</si>
  <si>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</si>
  <si>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</si>
  <si>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</si>
  <si>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</si>
  <si>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</si>
  <si>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</si>
  <si>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</si>
  <si>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</si>
  <si>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</si>
  <si>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</si>
  <si>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</si>
  <si>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</si>
  <si>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</si>
  <si>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</si>
  <si>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</si>
  <si>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</si>
  <si>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</si>
  <si>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</si>
  <si>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</si>
  <si>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</si>
  <si>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</si>
  <si>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</si>
  <si>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</si>
  <si>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</si>
  <si>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</si>
  <si>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</si>
  <si>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</si>
  <si>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</si>
  <si>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</si>
  <si>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</si>
  <si>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</si>
  <si>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</si>
  <si>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</si>
  <si>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</si>
  <si>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</si>
  <si>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</si>
  <si>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</si>
  <si>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</si>
  <si>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</si>
  <si>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</si>
  <si>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</si>
  <si>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</si>
  <si>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</si>
  <si>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</si>
  <si>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</si>
  <si>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</si>
  <si>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</si>
  <si>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</si>
  <si>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</si>
  <si>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</si>
  <si>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</si>
  <si>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</si>
  <si>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</si>
  <si>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</si>
  <si>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</si>
  <si>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</si>
  <si>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</si>
  <si>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</si>
  <si>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</si>
  <si>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</si>
  <si>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</si>
  <si>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</si>
  <si>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</si>
  <si>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</si>
  <si>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</si>
  <si>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</si>
  <si>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</si>
  <si>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</si>
  <si>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</si>
  <si>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</si>
  <si>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</si>
  <si>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</si>
  <si>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</si>
  <si>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</si>
  <si>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</si>
  <si>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</si>
  <si>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</si>
  <si>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</si>
  <si>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</si>
  <si>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</si>
  <si>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</si>
  <si>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</si>
  <si>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</si>
  <si>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</si>
  <si>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</si>
  <si>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</si>
  <si>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</si>
  <si>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</si>
  <si>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</si>
  <si>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</si>
  <si>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</si>
  <si>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</si>
  <si>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</si>
  <si>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</si>
  <si>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</si>
  <si>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</si>
  <si>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</si>
  <si>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</si>
  <si>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</si>
  <si>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</si>
  <si>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</si>
  <si>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</si>
  <si>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</si>
  <si>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</si>
  <si>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</si>
  <si>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</si>
  <si>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</si>
  <si>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</si>
  <si>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</si>
  <si>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</si>
  <si>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</si>
  <si>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</si>
  <si>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</si>
  <si>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</si>
  <si>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</si>
  <si>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</si>
  <si>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</si>
  <si>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</si>
  <si>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</si>
  <si>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</si>
  <si>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</si>
  <si>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</si>
  <si>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</si>
  <si>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</si>
  <si>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</si>
  <si>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</si>
  <si>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</si>
  <si>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</si>
  <si>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</si>
  <si>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</si>
  <si>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</si>
  <si>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</si>
  <si>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</si>
  <si>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</si>
  <si>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</si>
  <si>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</si>
  <si>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</si>
  <si>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</si>
  <si>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</si>
  <si>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</si>
  <si>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</si>
  <si>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</si>
  <si>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</si>
  <si>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</si>
  <si>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</si>
  <si>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</si>
  <si>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</si>
  <si>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</si>
  <si>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</si>
  <si>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</si>
  <si>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</si>
  <si>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</si>
  <si>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</si>
  <si>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</si>
  <si>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</si>
  <si>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</si>
  <si>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</si>
  <si>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</si>
  <si>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</si>
  <si>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</si>
  <si>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</si>
  <si>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</si>
  <si>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</si>
  <si>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</si>
  <si>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</si>
  <si>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</si>
  <si>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</si>
  <si>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</si>
  <si>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</si>
  <si>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</si>
  <si>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</si>
  <si>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</si>
  <si>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</si>
  <si>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</si>
  <si>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</si>
  <si>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</si>
  <si>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</si>
  <si>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</si>
  <si>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</si>
  <si>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</si>
  <si>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</si>
  <si>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</si>
  <si>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</si>
  <si>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</si>
  <si>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</si>
  <si>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</si>
  <si>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</si>
  <si>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</si>
  <si>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</si>
  <si>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</si>
  <si>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</si>
  <si>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</si>
  <si>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</si>
  <si>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</si>
  <si>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</si>
  <si>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</si>
  <si>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</si>
  <si>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</si>
  <si>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</si>
  <si>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</si>
  <si>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</si>
  <si>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</si>
  <si>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</si>
  <si>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</si>
  <si>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</si>
  <si>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</si>
  <si>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</si>
  <si>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</si>
  <si>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</si>
  <si>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</si>
  <si>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</si>
  <si>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</si>
  <si>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</si>
  <si>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</si>
  <si>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</si>
  <si>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</si>
  <si>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</si>
  <si>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</si>
  <si>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</si>
  <si>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</si>
  <si>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</si>
  <si>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</si>
  <si>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</si>
  <si>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</si>
  <si>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</si>
  <si>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</si>
  <si>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</si>
  <si>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</si>
  <si>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</si>
  <si>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</si>
  <si>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</si>
  <si>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</si>
  <si>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</si>
  <si>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</si>
  <si>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</si>
  <si>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</si>
  <si>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</si>
  <si>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</si>
  <si>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</si>
  <si>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</si>
  <si>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</si>
  <si>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</si>
  <si>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</si>
  <si>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</si>
  <si>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</si>
  <si>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</si>
  <si>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</si>
  <si>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</si>
  <si>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</si>
  <si>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</si>
  <si>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</si>
  <si>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</si>
  <si>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</si>
  <si>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</si>
  <si>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</si>
  <si>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</si>
  <si>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</si>
  <si>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</si>
  <si>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</si>
  <si>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</si>
  <si>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</si>
  <si>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</si>
  <si>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</si>
  <si>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</si>
  <si>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</si>
  <si>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</si>
  <si>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</si>
  <si>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</si>
  <si>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</si>
  <si>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</si>
  <si>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</si>
  <si>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</si>
  <si>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</si>
  <si>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</si>
  <si>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</si>
  <si>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</si>
  <si>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</si>
  <si>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</si>
  <si>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</si>
  <si>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</si>
  <si>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</si>
  <si>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</si>
  <si>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</si>
  <si>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</si>
  <si>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</si>
  <si>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</si>
  <si>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</si>
  <si>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</si>
  <si>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</si>
  <si>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</si>
  <si>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</si>
  <si>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</si>
  <si>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</si>
  <si>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</si>
  <si>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</si>
  <si>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</si>
  <si>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</si>
  <si>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</si>
  <si>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</si>
  <si>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</si>
  <si>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</si>
  <si>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</si>
  <si>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</si>
  <si>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</si>
  <si>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</si>
  <si>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</si>
  <si>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</si>
  <si>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</si>
  <si>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</si>
  <si>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</si>
  <si>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</si>
  <si>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</si>
  <si>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</si>
  <si>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</si>
  <si>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</si>
  <si>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</si>
  <si>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</si>
  <si>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</si>
  <si>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</si>
  <si>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</si>
  <si>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</si>
  <si>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</si>
  <si>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</si>
  <si>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</si>
  <si>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</si>
  <si>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</si>
  <si>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</si>
  <si>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</si>
  <si>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</si>
  <si>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</si>
  <si>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</si>
  <si>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</si>
  <si>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</si>
  <si>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</si>
  <si>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</si>
  <si>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</si>
  <si>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</si>
  <si>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</si>
  <si>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</si>
  <si>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</si>
  <si>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</si>
  <si>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</si>
  <si>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</si>
  <si>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</si>
  <si>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</si>
  <si>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</si>
  <si>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</si>
  <si>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</si>
  <si>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</si>
  <si>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</si>
  <si>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</si>
  <si>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</si>
  <si>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</si>
  <si>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</si>
  <si>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</si>
  <si>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</si>
  <si>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</si>
  <si>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</si>
  <si>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</si>
  <si>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</si>
  <si>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</si>
  <si>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</si>
  <si>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</si>
  <si>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</si>
  <si>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</si>
  <si>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</si>
  <si>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</si>
  <si>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</si>
  <si>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</si>
  <si>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</si>
  <si>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</si>
  <si>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</si>
  <si>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</si>
  <si>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</si>
  <si>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</si>
  <si>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</si>
  <si>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</si>
  <si>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</si>
  <si>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</si>
  <si>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</si>
  <si>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</si>
  <si>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</si>
  <si>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</si>
  <si>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</si>
  <si>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</si>
  <si>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</si>
  <si>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</si>
  <si>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</si>
  <si>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</si>
  <si>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</si>
  <si>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</si>
  <si>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</si>
  <si>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</si>
  <si>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</si>
  <si>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</si>
  <si>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</si>
  <si>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</si>
  <si>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</si>
  <si>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</si>
  <si>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</si>
  <si>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</si>
  <si>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</si>
  <si>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</si>
  <si>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</si>
  <si>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</si>
  <si>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</si>
  <si>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</si>
  <si>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</si>
  <si>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</si>
  <si>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</si>
  <si>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</si>
  <si>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</si>
  <si>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</si>
  <si>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</si>
  <si>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</si>
  <si>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</si>
  <si>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</si>
  <si>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</si>
  <si>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</si>
  <si>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</si>
  <si>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</si>
  <si>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</si>
  <si>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</si>
  <si>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</si>
  <si>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</si>
  <si>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</si>
  <si>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</si>
  <si>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</si>
  <si>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</si>
  <si>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</si>
  <si>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</si>
  <si>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</si>
  <si>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</si>
  <si>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</si>
  <si>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</si>
  <si>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</si>
  <si>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</si>
  <si>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</si>
  <si>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</si>
  <si>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</si>
  <si>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</si>
  <si>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</si>
  <si>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</si>
  <si>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</si>
  <si>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</si>
  <si>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</si>
  <si>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</si>
  <si>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</si>
  <si>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</si>
  <si>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</si>
  <si>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</si>
  <si>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</si>
  <si>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</si>
  <si>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</si>
  <si>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</si>
  <si>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</si>
  <si>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</si>
  <si>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</si>
  <si>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</si>
  <si>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</si>
  <si>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</si>
  <si>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</si>
  <si>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</si>
  <si>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</si>
  <si>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</si>
  <si>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</si>
  <si>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</si>
  <si>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</si>
  <si>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</si>
  <si>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</si>
  <si>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</si>
  <si>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</si>
  <si>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</si>
  <si>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</si>
  <si>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</si>
  <si>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</si>
  <si>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</si>
  <si>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</si>
  <si>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</si>
  <si>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</si>
  <si>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</si>
  <si>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</si>
  <si>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</si>
  <si>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</si>
  <si>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</si>
  <si>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</si>
  <si>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</si>
  <si>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</si>
  <si>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</si>
  <si>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</si>
  <si>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</si>
  <si>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</si>
  <si>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</si>
  <si>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</si>
  <si>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</si>
  <si>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</si>
  <si>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</si>
  <si>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</si>
  <si>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</si>
  <si>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</si>
  <si>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</si>
  <si>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</si>
  <si>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</si>
  <si>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</si>
  <si>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</si>
  <si>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</si>
  <si>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</si>
  <si>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</si>
  <si>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</si>
  <si>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</si>
  <si>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</si>
  <si>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</si>
  <si>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</si>
  <si>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</si>
  <si>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</si>
  <si>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</si>
  <si>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</si>
  <si>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</si>
  <si>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</si>
  <si>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</si>
  <si>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</si>
  <si>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</si>
  <si>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</si>
  <si>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</si>
  <si>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</si>
  <si>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</si>
  <si>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</si>
  <si>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</si>
  <si>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</si>
  <si>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</si>
  <si>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</si>
  <si>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</si>
  <si>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</si>
  <si>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</si>
  <si>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</si>
  <si>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</si>
  <si>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</si>
  <si>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</si>
  <si>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</si>
  <si>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</si>
  <si>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</si>
  <si>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</si>
  <si>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</si>
  <si>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</si>
  <si>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</si>
  <si>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</si>
  <si>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</si>
  <si>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</si>
  <si>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</si>
  <si>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</si>
  <si>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</si>
  <si>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</si>
  <si>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</si>
  <si>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</si>
  <si>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</si>
  <si>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</si>
  <si>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</si>
  <si>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</si>
  <si>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</si>
  <si>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</si>
  <si>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</si>
  <si>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</si>
  <si>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</si>
  <si>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</si>
  <si>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</si>
  <si>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</si>
  <si>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</si>
  <si>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</si>
  <si>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</si>
  <si>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</si>
  <si>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</si>
  <si>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</si>
  <si>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</si>
  <si>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</si>
  <si>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</si>
  <si>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</si>
  <si>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</si>
  <si>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</si>
  <si>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</si>
  <si>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</si>
  <si>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</si>
  <si>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</si>
  <si>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</si>
  <si>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</si>
  <si>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</si>
  <si>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</si>
  <si>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</si>
  <si>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</si>
  <si>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</si>
  <si>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</si>
  <si>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</si>
  <si>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</si>
  <si>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</si>
  <si>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</si>
  <si>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</si>
  <si>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</si>
  <si>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</si>
  <si>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</si>
  <si>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</si>
  <si>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</si>
  <si>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</si>
  <si>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</si>
  <si>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</si>
  <si>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</si>
  <si>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</si>
  <si>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</si>
  <si>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</si>
  <si>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</si>
  <si>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</si>
  <si>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</si>
  <si>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</si>
  <si>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</si>
  <si>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</si>
  <si>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</si>
  <si>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</si>
  <si>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</si>
  <si>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</si>
  <si>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</si>
  <si>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</si>
  <si>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</si>
  <si>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</si>
  <si>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</si>
  <si>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</si>
  <si>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</si>
  <si>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</si>
  <si>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</si>
  <si>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</si>
  <si>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</si>
  <si>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</si>
  <si>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</si>
  <si>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</si>
  <si>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</si>
  <si>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</si>
  <si>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</si>
  <si>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</si>
  <si>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</si>
  <si>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</si>
  <si>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</si>
  <si>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</si>
  <si>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</si>
  <si>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</si>
  <si>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</si>
  <si>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</si>
  <si>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</si>
  <si>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</si>
  <si>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</si>
  <si>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</si>
  <si>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</si>
  <si>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</si>
  <si>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</si>
  <si>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</si>
  <si>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</si>
  <si>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</si>
  <si>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</si>
  <si>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</si>
  <si>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</si>
  <si>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</si>
  <si>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</si>
  <si>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</si>
  <si>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</si>
  <si>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</si>
  <si>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</si>
  <si>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</si>
  <si>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</si>
  <si>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</si>
  <si>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</si>
  <si>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</si>
  <si>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</si>
  <si>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</si>
  <si>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</si>
  <si>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</si>
  <si>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</si>
  <si>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</si>
  <si>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</si>
  <si>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</si>
  <si>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</si>
  <si>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</si>
  <si>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</si>
  <si>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</si>
  <si>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</si>
  <si>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</si>
  <si>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</si>
  <si>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</si>
  <si>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</si>
  <si>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</si>
  <si>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</si>
  <si>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</si>
  <si>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</si>
  <si>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</si>
  <si>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</si>
  <si>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</si>
  <si>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</si>
  <si>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</si>
  <si>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</si>
  <si>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</si>
  <si>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</si>
  <si>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</si>
  <si>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</si>
  <si>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</si>
  <si>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</si>
  <si>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</si>
  <si>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</si>
  <si>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</si>
  <si>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</si>
  <si>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</si>
  <si>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</si>
  <si>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</si>
  <si>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</si>
  <si>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</si>
  <si>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</si>
  <si>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</si>
  <si>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</si>
  <si>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</si>
  <si>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</si>
  <si>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</si>
  <si>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</si>
  <si>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</si>
  <si>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</si>
  <si>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</si>
  <si>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</si>
  <si>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</si>
  <si>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</si>
  <si>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</si>
  <si>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</si>
  <si>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</si>
  <si>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</si>
  <si>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</si>
  <si>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</si>
  <si>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</si>
  <si>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</si>
  <si>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</si>
  <si>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</si>
  <si>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</si>
  <si>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</si>
  <si>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</si>
  <si>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</si>
  <si>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</si>
  <si>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</si>
  <si>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</si>
  <si>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</si>
  <si>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</si>
  <si>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</si>
  <si>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</si>
  <si>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</si>
  <si>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</si>
  <si>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</si>
  <si>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</si>
  <si>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</si>
  <si>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</si>
  <si>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</si>
  <si>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</si>
  <si>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</si>
  <si>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</si>
  <si>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</si>
  <si>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</si>
  <si>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</si>
  <si>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</si>
  <si>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</si>
  <si>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</si>
  <si>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</si>
  <si>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</si>
  <si>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</si>
  <si>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</si>
  <si>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</si>
  <si>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</si>
  <si>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</si>
  <si>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</si>
  <si>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</si>
  <si>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</si>
  <si>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</si>
  <si>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</si>
  <si>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</si>
  <si>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</si>
  <si>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</si>
  <si>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</si>
  <si>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</si>
  <si>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</si>
  <si>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</si>
  <si>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</si>
  <si>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</si>
  <si>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</si>
  <si>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</si>
  <si>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</si>
  <si>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</si>
  <si>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</si>
  <si>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</si>
  <si>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</si>
  <si>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</si>
  <si>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</si>
  <si>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</si>
  <si>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</si>
  <si>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</si>
  <si>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</si>
  <si>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</si>
  <si>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</si>
  <si>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</si>
  <si>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</si>
  <si>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</si>
  <si>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</si>
  <si>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</si>
  <si>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</si>
  <si>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</si>
  <si>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</si>
  <si>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</si>
  <si>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</si>
  <si>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</si>
  <si>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</si>
  <si>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</si>
  <si>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</si>
  <si>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</si>
  <si>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</si>
  <si>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</si>
  <si>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</si>
  <si>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</si>
  <si>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</si>
  <si>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</si>
  <si>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</si>
  <si>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</si>
  <si>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</si>
  <si>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</si>
  <si>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</si>
  <si>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</si>
  <si>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</si>
  <si>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</si>
  <si>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</si>
  <si>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</si>
  <si>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</si>
  <si>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</si>
  <si>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</si>
  <si>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</si>
  <si>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</si>
  <si>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</si>
  <si>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</si>
  <si>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</si>
  <si>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</si>
  <si>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</si>
  <si>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</si>
  <si>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</si>
  <si>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</si>
  <si>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</si>
  <si>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</si>
  <si>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</si>
  <si>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</si>
  <si>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</si>
  <si>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</si>
  <si>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</si>
  <si>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</si>
  <si>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</si>
  <si>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</si>
  <si>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</si>
  <si>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</si>
  <si>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</si>
  <si>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</si>
  <si>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</si>
  <si>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</si>
  <si>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</si>
  <si>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</si>
  <si>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</si>
  <si>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</si>
  <si>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</si>
  <si>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</si>
  <si>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</si>
  <si>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</si>
  <si>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</si>
  <si>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</si>
  <si>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</si>
  <si>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</si>
  <si>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</si>
  <si>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</si>
  <si>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</si>
  <si>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</si>
  <si>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</si>
  <si>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</si>
  <si>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</si>
  <si>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</si>
  <si>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</si>
  <si>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</si>
  <si>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</si>
  <si>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</si>
  <si>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</si>
  <si>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</si>
  <si>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</si>
  <si>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</si>
  <si>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</si>
  <si>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</si>
  <si>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</si>
  <si>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</si>
  <si>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</si>
  <si>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</si>
  <si>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</si>
  <si>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</si>
  <si>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</si>
  <si>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</si>
  <si>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</si>
  <si>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</si>
  <si>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</si>
  <si>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</si>
  <si>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</si>
  <si>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</si>
  <si>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</si>
  <si>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</si>
  <si>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</si>
  <si>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</si>
  <si>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</si>
  <si>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</si>
  <si>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</si>
  <si>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</si>
  <si>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</si>
  <si>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</si>
  <si>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</si>
  <si>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</si>
  <si>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</si>
  <si>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</si>
  <si>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</si>
  <si>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</si>
  <si>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</si>
  <si>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</si>
  <si>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</si>
  <si>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</si>
  <si>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</si>
  <si>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</si>
  <si>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</si>
  <si>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</si>
  <si>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</si>
  <si>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</si>
  <si>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</si>
  <si>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</si>
  <si>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</si>
  <si>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</si>
  <si>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</si>
  <si>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</si>
  <si>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</si>
  <si>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</si>
  <si>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</si>
  <si>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</si>
  <si>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</si>
  <si>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</si>
  <si>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</si>
  <si>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</si>
  <si>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</si>
  <si>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</si>
  <si>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</si>
  <si>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</si>
  <si>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</si>
  <si>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</si>
  <si>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</si>
  <si>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</si>
  <si>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</si>
  <si>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</si>
  <si>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</si>
  <si>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</si>
  <si>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</si>
  <si>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</si>
  <si>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</si>
  <si>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</si>
  <si>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</si>
  <si>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</si>
  <si>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</si>
  <si>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</si>
  <si>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</si>
  <si>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</si>
  <si>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</si>
  <si>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</si>
  <si>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</si>
  <si>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</si>
  <si>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</si>
  <si>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</si>
  <si>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</si>
  <si>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</si>
  <si>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</si>
  <si>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</si>
  <si>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</si>
  <si>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</si>
  <si>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</si>
  <si>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</si>
  <si>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</si>
  <si>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</si>
  <si>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</si>
  <si>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</si>
  <si>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</si>
  <si>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</si>
  <si>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</si>
  <si>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</si>
  <si>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</si>
  <si>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</si>
  <si>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</si>
  <si>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</si>
  <si>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</si>
  <si>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</si>
  <si>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</si>
  <si>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</si>
  <si>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</si>
  <si>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</si>
  <si>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</si>
  <si>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</si>
  <si>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</si>
  <si>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</si>
  <si>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</si>
  <si>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</si>
  <si>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</si>
  <si>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</si>
  <si>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</si>
  <si>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</si>
  <si>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</si>
  <si>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</si>
  <si>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</si>
  <si>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</si>
  <si>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</si>
  <si>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</si>
  <si>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</si>
  <si>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</si>
  <si>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</si>
  <si>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</si>
  <si>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</si>
  <si>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</si>
  <si>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</si>
  <si>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</si>
  <si>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</si>
  <si>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</si>
  <si>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</si>
  <si>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</si>
  <si>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</si>
  <si>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</si>
  <si>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</si>
  <si>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</si>
  <si>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</si>
  <si>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</si>
  <si>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</si>
  <si>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</si>
  <si>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</si>
  <si>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</si>
  <si>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</si>
  <si>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</si>
  <si>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</si>
  <si>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</si>
  <si>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</si>
  <si>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</si>
  <si>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</si>
  <si>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</si>
  <si>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</si>
  <si>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</si>
  <si>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</si>
  <si>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</si>
  <si>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</si>
  <si>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</si>
  <si>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</si>
  <si>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</si>
  <si>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</si>
  <si>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</si>
  <si>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</si>
  <si>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</si>
  <si>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</si>
  <si>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</si>
  <si>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</si>
  <si>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</si>
  <si>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</si>
  <si>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</si>
  <si>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</si>
  <si>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</si>
  <si>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</si>
  <si>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</si>
  <si>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</si>
  <si>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</si>
  <si>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</si>
  <si>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</si>
  <si>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</si>
  <si>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</si>
  <si>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</si>
  <si>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</si>
  <si>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</si>
  <si>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</si>
  <si>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</si>
  <si>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</si>
  <si>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</si>
  <si>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</si>
  <si>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</si>
  <si>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</si>
  <si>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</si>
  <si>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</si>
  <si>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</si>
  <si>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</si>
  <si>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</si>
  <si>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</si>
  <si>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</si>
  <si>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</si>
  <si>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</si>
  <si>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</si>
  <si>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</si>
  <si>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</si>
  <si>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</si>
  <si>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</si>
  <si>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</si>
  <si>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</si>
  <si>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</si>
  <si>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</si>
  <si>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</si>
  <si>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</si>
  <si>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</si>
  <si>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</si>
  <si>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</si>
  <si>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</si>
  <si>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</si>
  <si>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</si>
  <si>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</si>
  <si>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</si>
  <si>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</si>
  <si>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</si>
  <si>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</si>
  <si>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</si>
  <si>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</si>
  <si>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</si>
  <si>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</si>
  <si>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</si>
  <si>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</si>
  <si>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</si>
  <si>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</si>
  <si>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</si>
  <si>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</si>
  <si>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</si>
  <si>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</si>
  <si>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</si>
  <si>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</si>
  <si>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</si>
  <si>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</si>
  <si>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</si>
  <si>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</si>
  <si>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</si>
  <si>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</si>
  <si>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</si>
  <si>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</si>
  <si>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</si>
  <si>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</si>
  <si>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</si>
  <si>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</si>
  <si>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</si>
  <si>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</si>
  <si>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</si>
  <si>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</si>
  <si>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</si>
  <si>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</si>
  <si>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</si>
  <si>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</si>
  <si>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</si>
  <si>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</si>
  <si>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</si>
  <si>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</si>
  <si>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</si>
  <si>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</si>
  <si>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</si>
  <si>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</si>
  <si>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</si>
  <si>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</si>
  <si>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</si>
  <si>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</si>
  <si>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</si>
  <si>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</si>
  <si>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</si>
  <si>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</si>
  <si>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</si>
  <si>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</si>
  <si>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</si>
  <si>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</si>
  <si>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</si>
  <si>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</si>
  <si>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</si>
  <si>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</si>
  <si>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</si>
  <si>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</si>
  <si>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</si>
  <si>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</si>
  <si>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</si>
  <si>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</si>
  <si>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</si>
  <si>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</si>
  <si>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</si>
  <si>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</si>
  <si>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</si>
  <si>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</si>
  <si>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</si>
  <si>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</si>
  <si>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</si>
  <si>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</si>
  <si>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</si>
  <si>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</si>
  <si>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</si>
  <si>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</si>
  <si>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</si>
  <si>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</si>
  <si>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</si>
  <si>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</si>
  <si>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</si>
  <si>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</si>
  <si>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</si>
  <si>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</si>
  <si>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</si>
  <si>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</si>
  <si>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</si>
  <si>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</si>
  <si>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</si>
  <si>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</si>
  <si>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</si>
  <si>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</si>
  <si>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</si>
  <si>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</si>
  <si>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</si>
  <si>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</si>
  <si>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</si>
  <si>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</si>
  <si>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</si>
  <si>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</si>
  <si>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</si>
  <si>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</si>
  <si>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</si>
  <si>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</si>
  <si>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</si>
  <si>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</si>
  <si>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</si>
  <si>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</si>
  <si>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</si>
  <si>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</si>
  <si>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</si>
  <si>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</si>
  <si>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</si>
  <si>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</si>
  <si>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</si>
  <si>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</si>
  <si>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</si>
  <si>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</si>
  <si>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</si>
  <si>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</si>
  <si>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</si>
  <si>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</si>
  <si>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</si>
  <si>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</si>
  <si>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</si>
  <si>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</si>
  <si>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</si>
  <si>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</si>
  <si>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</si>
  <si>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</si>
  <si>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</si>
  <si>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</si>
  <si>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</si>
  <si>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</si>
  <si>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</si>
  <si>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</si>
  <si>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</si>
  <si>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</si>
  <si>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</si>
  <si>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</si>
  <si>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</si>
  <si>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</si>
  <si>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</si>
  <si>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</si>
  <si>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</si>
  <si>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</si>
  <si>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</si>
  <si>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</si>
  <si>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</si>
  <si>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</si>
  <si>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</si>
  <si>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</si>
  <si>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</si>
  <si>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</si>
  <si>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</si>
  <si>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</si>
  <si>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</si>
  <si>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</si>
  <si>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</si>
  <si>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</si>
  <si>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</si>
  <si>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</si>
  <si>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</si>
  <si>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</si>
  <si>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</si>
  <si>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</si>
  <si>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</si>
  <si>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</si>
  <si>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</si>
  <si>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</si>
  <si>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</si>
  <si>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</si>
  <si>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</si>
  <si>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</si>
  <si>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</si>
  <si>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</si>
  <si>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</si>
  <si>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</si>
  <si>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</si>
  <si>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</si>
  <si>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</si>
  <si>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</si>
  <si>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</si>
  <si>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</si>
  <si>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</si>
  <si>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</si>
  <si>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</si>
  <si>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</si>
  <si>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</si>
  <si>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</si>
  <si>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</si>
  <si>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</si>
  <si>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</si>
  <si>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</si>
  <si>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</si>
  <si>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</si>
  <si>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</si>
  <si>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</si>
  <si>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</si>
  <si>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</si>
  <si>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</si>
  <si>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</si>
  <si>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</si>
  <si>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</si>
  <si>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</si>
  <si>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</si>
  <si>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</si>
  <si>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</si>
  <si>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</si>
  <si>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</si>
  <si>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</si>
  <si>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</si>
  <si>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</si>
  <si>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</si>
  <si>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</si>
  <si>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</si>
  <si>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</si>
  <si>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</si>
  <si>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</si>
  <si>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</si>
  <si>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</si>
  <si>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</si>
  <si>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</si>
  <si>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</si>
  <si>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</si>
  <si>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</si>
  <si>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</si>
  <si>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</si>
  <si>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</si>
  <si>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</si>
  <si>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</si>
  <si>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</si>
  <si>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</si>
  <si>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</si>
  <si>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</si>
  <si>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</si>
  <si>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</si>
  <si>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</si>
  <si>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</si>
  <si>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</si>
  <si>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</si>
  <si>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</si>
  <si>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</si>
  <si>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</si>
  <si>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</si>
  <si>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</si>
  <si>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</si>
  <si>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</si>
  <si>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</si>
  <si>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</si>
  <si>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</si>
  <si>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</si>
  <si>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</si>
  <si>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</si>
  <si>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</si>
  <si>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</si>
  <si>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</si>
  <si>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</si>
  <si>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</si>
  <si>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</si>
  <si>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</si>
  <si>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</si>
  <si>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</si>
  <si>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</si>
  <si>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</si>
  <si>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</si>
  <si>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</si>
  <si>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</si>
  <si>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</si>
  <si>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</si>
  <si>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</si>
  <si>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</si>
  <si>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</si>
  <si>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</si>
  <si>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</si>
  <si>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</si>
  <si>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</si>
  <si>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</si>
  <si>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</si>
  <si>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</si>
  <si>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</si>
  <si>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</si>
  <si>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</si>
  <si>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</si>
  <si>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</si>
  <si>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</si>
  <si>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</si>
  <si>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</si>
  <si>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</si>
  <si>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</si>
  <si>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</si>
  <si>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</si>
  <si>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</si>
  <si>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</si>
  <si>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</si>
  <si>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</si>
  <si>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</si>
  <si>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</si>
  <si>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</si>
  <si>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</si>
  <si>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</si>
  <si>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</si>
  <si>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</si>
  <si>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</si>
  <si>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</si>
  <si>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</si>
  <si>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</si>
  <si>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</si>
  <si>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</si>
  <si>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</si>
  <si>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</si>
  <si>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</si>
  <si>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</si>
  <si>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</si>
  <si>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</si>
  <si>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</si>
  <si>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</si>
  <si>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</si>
  <si>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</si>
  <si>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</si>
  <si>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</si>
  <si>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</si>
  <si>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</si>
  <si>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</si>
  <si>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</si>
  <si>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</si>
  <si>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</si>
  <si>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</si>
  <si>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</si>
  <si>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</si>
  <si>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</si>
  <si>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</si>
  <si>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</si>
  <si>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</si>
  <si>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</si>
  <si>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</si>
  <si>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</si>
  <si>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</si>
  <si>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</si>
  <si>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</si>
  <si>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</si>
  <si>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</si>
  <si>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</si>
  <si>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</si>
  <si>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</si>
  <si>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</si>
  <si>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</si>
  <si>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</si>
  <si>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</si>
  <si>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</si>
  <si>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</si>
  <si>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</si>
  <si>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</si>
  <si>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</si>
  <si>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</si>
  <si>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</si>
  <si>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</si>
  <si>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</si>
  <si>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</si>
  <si>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</si>
  <si>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</si>
  <si>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</si>
  <si>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</si>
  <si>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</si>
  <si>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</si>
  <si>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</si>
  <si>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</si>
  <si>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</si>
  <si>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</si>
  <si>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</si>
  <si>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</si>
  <si>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</si>
  <si>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</si>
  <si>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</si>
  <si>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</si>
  <si>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</si>
  <si>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</si>
  <si>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</si>
  <si>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</si>
  <si>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</si>
  <si>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</si>
  <si>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</si>
  <si>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</si>
  <si>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</si>
  <si>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</si>
  <si>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</si>
  <si>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</si>
  <si>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</si>
  <si>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</si>
  <si>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</si>
  <si>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</si>
  <si>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</si>
  <si>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</si>
  <si>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</si>
  <si>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</si>
  <si>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</si>
  <si>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</si>
  <si>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</si>
  <si>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</si>
  <si>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</si>
  <si>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</si>
  <si>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</si>
  <si>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</si>
  <si>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</si>
  <si>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</si>
  <si>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</si>
  <si>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</si>
  <si>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</si>
  <si>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</si>
  <si>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</si>
  <si>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</si>
  <si>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</si>
  <si>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</si>
  <si>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</si>
  <si>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</si>
  <si>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</si>
  <si>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</si>
  <si>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</si>
  <si>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</si>
  <si>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</si>
  <si>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</si>
  <si>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</si>
  <si>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</si>
  <si>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</si>
  <si>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</si>
  <si>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</si>
  <si>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</si>
  <si>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</si>
  <si>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</si>
  <si>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</si>
  <si>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</si>
  <si>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</si>
  <si>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</si>
  <si>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</si>
  <si>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</si>
  <si>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</si>
  <si>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</si>
  <si>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</si>
  <si>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</si>
  <si>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</si>
  <si>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</si>
  <si>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</si>
  <si>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</si>
  <si>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</si>
  <si>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</si>
  <si>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</si>
  <si>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</si>
  <si>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</si>
  <si>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</si>
  <si>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</si>
  <si>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</si>
  <si>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</si>
  <si>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</si>
  <si>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</si>
  <si>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</si>
  <si>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</si>
  <si>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</si>
  <si>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</si>
  <si>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</si>
  <si>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</si>
  <si>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</si>
  <si>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</si>
  <si>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</si>
  <si>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</si>
  <si>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</si>
  <si>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</si>
  <si>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</si>
  <si>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</si>
  <si>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</si>
  <si>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</si>
  <si>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</si>
  <si>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</si>
  <si>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</si>
  <si>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</si>
  <si>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</si>
  <si>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</si>
  <si>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</si>
  <si>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</si>
  <si>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</si>
  <si>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</si>
  <si>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</si>
  <si>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</si>
  <si>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</si>
  <si>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</si>
  <si>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</si>
  <si>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</si>
  <si>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</si>
  <si>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</si>
  <si>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</si>
  <si>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</si>
  <si>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</si>
  <si>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</si>
  <si>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</si>
  <si>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</si>
  <si>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</si>
  <si>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</si>
  <si>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</si>
  <si>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</si>
  <si>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</si>
  <si>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</si>
  <si>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</si>
  <si>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</si>
  <si>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</si>
  <si>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</si>
  <si>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</si>
  <si>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</si>
  <si>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</si>
  <si>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</si>
  <si>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</si>
  <si>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</si>
  <si>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</si>
  <si>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</si>
  <si>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</si>
  <si>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</si>
  <si>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</si>
  <si>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</si>
  <si>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</si>
  <si>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</si>
  <si>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</si>
  <si>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</si>
  <si>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</si>
  <si>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</si>
  <si>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</si>
  <si>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</si>
  <si>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</si>
  <si>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</si>
  <si>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</si>
  <si>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</si>
  <si>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</si>
  <si>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</si>
  <si>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</si>
  <si>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</si>
  <si>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</si>
  <si>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</si>
  <si>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</si>
  <si>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</si>
  <si>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</si>
  <si>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</si>
  <si>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</si>
  <si>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</si>
  <si>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</si>
  <si>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</si>
  <si>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</si>
  <si>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</si>
  <si>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</si>
  <si>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</si>
  <si>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</si>
  <si>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</si>
  <si>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</si>
  <si>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</si>
  <si>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</si>
  <si>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</si>
  <si>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</si>
  <si>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</si>
  <si>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</si>
  <si>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</si>
  <si>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</si>
  <si>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</si>
  <si>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</si>
  <si>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</si>
  <si>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</si>
  <si>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</si>
  <si>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</si>
  <si>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</si>
  <si>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</si>
  <si>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</si>
  <si>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</si>
  <si>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</si>
  <si>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</si>
  <si>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</si>
  <si>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</si>
  <si>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</si>
  <si>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</si>
  <si>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</si>
  <si>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</si>
  <si>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</si>
  <si>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</si>
  <si>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</si>
  <si>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</si>
  <si>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</si>
  <si>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</si>
  <si>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</si>
  <si>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</si>
  <si>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</si>
  <si>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</si>
  <si>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</si>
  <si>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</si>
  <si>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</si>
  <si>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</si>
  <si>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</si>
  <si>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</si>
  <si>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</si>
  <si>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</si>
  <si>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</si>
  <si>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</si>
  <si>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</si>
  <si>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</si>
  <si>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</si>
  <si>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</si>
  <si>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</si>
  <si>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</si>
  <si>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</si>
  <si>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</si>
  <si>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</si>
  <si>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</si>
  <si>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</si>
  <si>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</si>
  <si>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</si>
  <si>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</si>
  <si>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</si>
  <si>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</si>
  <si>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</si>
  <si>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</si>
  <si>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</si>
  <si>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</si>
  <si>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</si>
  <si>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</si>
  <si>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</si>
  <si>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</si>
  <si>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</si>
  <si>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</si>
  <si>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</si>
  <si>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</si>
  <si>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</si>
  <si>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</si>
  <si>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</si>
  <si>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</si>
  <si>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</si>
  <si>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</si>
  <si>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</si>
  <si>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</si>
  <si>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</si>
  <si>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</si>
  <si>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</si>
  <si>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</si>
  <si>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</si>
  <si>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</si>
  <si>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</si>
  <si>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</si>
  <si>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</si>
  <si>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</si>
  <si>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</si>
  <si>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</si>
  <si>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</si>
  <si>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</si>
  <si>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</si>
  <si>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</si>
  <si>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</si>
  <si>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</si>
  <si>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</si>
  <si>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</si>
  <si>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</si>
  <si>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</si>
  <si>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</si>
  <si>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</si>
  <si>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</si>
  <si>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</si>
  <si>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</si>
  <si>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</si>
  <si>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</si>
  <si>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</si>
  <si>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</si>
  <si>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</si>
  <si>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</si>
  <si>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</si>
  <si>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</si>
  <si>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</si>
  <si>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</si>
  <si>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</si>
  <si>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</si>
  <si>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</si>
  <si>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</si>
  <si>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</si>
  <si>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</si>
  <si>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</si>
  <si>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</si>
  <si>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</si>
  <si>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</si>
  <si>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</si>
  <si>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</si>
  <si>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</si>
  <si>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</si>
  <si>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</si>
  <si>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</si>
  <si>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</si>
  <si>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</si>
  <si>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</si>
  <si>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</si>
  <si>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</si>
  <si>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</si>
  <si>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</si>
  <si>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</si>
  <si>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</si>
  <si>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</si>
  <si>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</si>
  <si>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</si>
  <si>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</si>
  <si>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</si>
  <si>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</si>
  <si>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</si>
  <si>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</si>
  <si>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</si>
  <si>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</si>
  <si>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</si>
  <si>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</si>
  <si>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</si>
  <si>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</si>
  <si>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</si>
  <si>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</si>
  <si>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</si>
  <si>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</si>
  <si>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</si>
  <si>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</si>
  <si>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</si>
  <si>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</si>
  <si>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</si>
  <si>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</si>
  <si>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</si>
  <si>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</si>
  <si>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</si>
  <si>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</si>
  <si>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</si>
  <si>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</si>
  <si>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</si>
  <si>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</si>
  <si>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</si>
  <si>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</si>
  <si>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</si>
  <si>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</si>
  <si>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</si>
  <si>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</si>
  <si>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</si>
  <si>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</si>
  <si>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</si>
  <si>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</si>
  <si>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</si>
  <si>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</si>
  <si>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</si>
  <si>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</si>
  <si>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</si>
  <si>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</si>
  <si>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</si>
  <si>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</si>
  <si>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</si>
  <si>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</si>
  <si>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</si>
  <si>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</si>
  <si>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</si>
  <si>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</si>
  <si>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</si>
  <si>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</si>
  <si>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</si>
  <si>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</si>
  <si>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</si>
  <si>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</si>
  <si>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</si>
  <si>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</si>
  <si>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</si>
  <si>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</si>
  <si>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</si>
  <si>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</si>
  <si>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</si>
  <si>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</si>
  <si>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</si>
  <si>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</si>
  <si>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</si>
  <si>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</si>
  <si>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</si>
  <si>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</si>
  <si>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</si>
  <si>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</si>
  <si>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</si>
  <si>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</si>
  <si>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</si>
  <si>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</si>
  <si>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</si>
  <si>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</si>
  <si>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</si>
  <si>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</si>
  <si>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</si>
  <si>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</si>
  <si>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</si>
  <si>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</si>
  <si>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</si>
  <si>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</si>
  <si>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</si>
  <si>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</si>
  <si>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</si>
  <si>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</si>
  <si>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</si>
  <si>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</si>
  <si>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</si>
  <si>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</si>
  <si>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</si>
  <si>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</si>
  <si>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</si>
  <si>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</si>
  <si>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</si>
  <si>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</si>
  <si>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</si>
  <si>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</si>
  <si>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</si>
  <si>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</si>
  <si>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</si>
  <si>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</si>
  <si>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</si>
  <si>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</si>
  <si>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</si>
  <si>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</si>
  <si>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</si>
  <si>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</si>
  <si>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</si>
  <si>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</si>
  <si>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</si>
  <si>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</si>
  <si>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</si>
  <si>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</si>
  <si>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</si>
  <si>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</si>
  <si>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</si>
  <si>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</si>
  <si>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</si>
  <si>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</si>
  <si>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</si>
  <si>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</si>
  <si>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</si>
  <si>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</si>
  <si>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</si>
  <si>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</si>
  <si>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</si>
  <si>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</si>
  <si>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</si>
  <si>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</si>
  <si>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</si>
  <si>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</si>
  <si>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</si>
  <si>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</si>
  <si>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</si>
  <si>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</si>
  <si>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</si>
  <si>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</si>
  <si>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</si>
  <si>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</si>
  <si>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</si>
  <si>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</si>
  <si>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</si>
  <si>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</si>
  <si>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</si>
  <si>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</si>
  <si>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</si>
  <si>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</si>
  <si>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</si>
  <si>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</si>
  <si>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</si>
  <si>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</si>
  <si>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</si>
  <si>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</si>
  <si>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</si>
  <si>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</si>
  <si>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</si>
  <si>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</si>
  <si>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</si>
  <si>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</si>
  <si>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</si>
  <si>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</si>
  <si>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</si>
  <si>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</si>
  <si>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</si>
  <si>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</si>
  <si>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</si>
  <si>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</si>
  <si>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</si>
  <si>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</si>
  <si>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</si>
  <si>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</si>
  <si>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</si>
  <si>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</si>
  <si>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</si>
  <si>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</si>
  <si>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</si>
  <si>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</si>
  <si>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</si>
  <si>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</si>
  <si>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</si>
  <si>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</si>
  <si>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</si>
  <si>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</si>
  <si>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</si>
  <si>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</si>
  <si>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</si>
  <si>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</si>
  <si>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</si>
  <si>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</si>
  <si>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</si>
  <si>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</si>
  <si>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</si>
  <si>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</si>
  <si>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</si>
  <si>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</si>
  <si>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</si>
  <si>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</si>
  <si>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</si>
  <si>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</si>
  <si>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</si>
  <si>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</si>
  <si>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</si>
  <si>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</si>
  <si>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</si>
  <si>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</si>
  <si>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</si>
  <si>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</si>
  <si>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</si>
  <si>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</si>
  <si>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</si>
  <si>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</si>
  <si>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</si>
  <si>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</si>
  <si>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</si>
  <si>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</si>
  <si>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</si>
  <si>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</si>
  <si>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</si>
  <si>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</si>
  <si>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</si>
  <si>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</si>
  <si>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</si>
  <si>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</si>
  <si>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</si>
  <si>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</si>
  <si>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</si>
  <si>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</si>
  <si>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</si>
  <si>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</si>
  <si>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</si>
  <si>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</si>
  <si>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</si>
  <si>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</si>
  <si>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</si>
  <si>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</si>
  <si>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</si>
  <si>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</si>
  <si>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</si>
  <si>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</si>
  <si>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</si>
  <si>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</si>
  <si>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</si>
  <si>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</si>
  <si>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</si>
  <si>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</si>
  <si>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</si>
  <si>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</si>
  <si>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</si>
  <si>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</si>
  <si>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</si>
  <si>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</si>
  <si>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</si>
  <si>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</si>
  <si>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</si>
  <si>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</si>
  <si>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</si>
  <si>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</si>
  <si>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</si>
  <si>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</si>
  <si>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</si>
  <si>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</si>
  <si>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</si>
  <si>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</si>
  <si>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</si>
  <si>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</si>
  <si>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</si>
  <si>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</si>
  <si>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</si>
  <si>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</si>
  <si>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</si>
  <si>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</si>
  <si>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</si>
  <si>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</si>
  <si>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</si>
  <si>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</si>
  <si>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</si>
  <si>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</si>
  <si>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</si>
  <si>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</si>
  <si>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</si>
  <si>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</si>
  <si>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</si>
  <si>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</si>
  <si>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</si>
  <si>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</si>
  <si>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</si>
  <si>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</si>
  <si>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</si>
  <si>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</si>
  <si>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</si>
  <si>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</si>
  <si>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</si>
  <si>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</si>
  <si>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</si>
  <si>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</si>
  <si>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</si>
  <si>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</si>
  <si>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</si>
  <si>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</si>
  <si>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</si>
  <si>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</si>
  <si>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</si>
  <si>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</si>
  <si>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</si>
  <si>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</si>
  <si>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</si>
  <si>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</si>
  <si>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</si>
  <si>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</si>
  <si>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</si>
  <si>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</si>
  <si>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</si>
  <si>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</si>
  <si>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</si>
  <si>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</si>
  <si>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</si>
  <si>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</si>
  <si>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</si>
  <si>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</si>
  <si>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</si>
  <si>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</si>
  <si>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</si>
  <si>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</si>
  <si>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</si>
  <si>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</si>
  <si>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</si>
  <si>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</si>
  <si>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</si>
  <si>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</si>
  <si>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</si>
  <si>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</si>
  <si>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</si>
  <si>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</si>
  <si>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</si>
  <si>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</si>
  <si>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</si>
  <si>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</si>
  <si>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</si>
  <si>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</si>
  <si>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</si>
  <si>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</si>
  <si>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</si>
  <si>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</si>
  <si>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</si>
  <si>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</si>
  <si>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</si>
  <si>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</si>
  <si>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</si>
  <si>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</si>
  <si>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</si>
  <si>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</si>
  <si>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</si>
  <si>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</si>
  <si>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</si>
  <si>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</si>
  <si>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</si>
  <si>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</si>
  <si>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</si>
  <si>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</si>
  <si>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</si>
  <si>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</si>
  <si>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</si>
  <si>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</si>
  <si>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</si>
  <si>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</si>
  <si>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</si>
  <si>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</si>
  <si>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</si>
  <si>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</si>
  <si>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</si>
  <si>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</si>
  <si>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</si>
  <si>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</si>
  <si>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</si>
  <si>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</si>
  <si>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</si>
  <si>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</si>
  <si>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</si>
  <si>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</si>
  <si>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</si>
  <si>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</si>
  <si>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</si>
  <si>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</si>
  <si>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</si>
  <si>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</si>
  <si>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</si>
  <si>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</si>
  <si>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</si>
  <si>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</si>
  <si>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</si>
  <si>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</si>
  <si>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</si>
  <si>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</si>
  <si>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</si>
  <si>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</si>
  <si>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</si>
  <si>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</si>
  <si>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</si>
  <si>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</si>
  <si>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</si>
  <si>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</si>
  <si>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</si>
  <si>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</si>
  <si>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</si>
  <si>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</si>
  <si>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</si>
  <si>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</si>
  <si>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</si>
  <si>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</si>
  <si>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</si>
  <si>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</si>
  <si>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</si>
  <si>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</si>
  <si>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</si>
  <si>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</si>
  <si>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</si>
  <si>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</si>
  <si>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</si>
  <si>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</si>
  <si>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</si>
  <si>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</si>
  <si>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</si>
  <si>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</si>
  <si>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</si>
  <si>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</si>
  <si>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</si>
  <si>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</si>
  <si>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</si>
  <si>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</si>
  <si>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</si>
  <si>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</si>
  <si>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</si>
  <si>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</si>
  <si>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</si>
  <si>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</si>
  <si>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</si>
  <si>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</si>
  <si>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</si>
  <si>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</si>
  <si>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</si>
  <si>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</si>
  <si>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</si>
  <si>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</si>
  <si>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</si>
  <si>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</si>
  <si>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</si>
  <si>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</si>
  <si>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</si>
  <si>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</si>
  <si>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</si>
  <si>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</si>
  <si>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</si>
  <si>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</si>
  <si>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</si>
  <si>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</si>
  <si>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</si>
  <si>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</si>
  <si>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</si>
  <si>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</si>
  <si>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</si>
  <si>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</si>
  <si>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</si>
  <si>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</si>
  <si>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</si>
  <si>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</si>
  <si>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</si>
  <si>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</si>
  <si>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</si>
  <si>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</si>
  <si>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</si>
  <si>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</si>
  <si>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</si>
  <si>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</si>
  <si>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</si>
  <si>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</si>
  <si>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</si>
  <si>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</si>
  <si>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</si>
  <si>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</si>
  <si>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</si>
  <si>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</si>
  <si>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</si>
  <si>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</si>
  <si>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</si>
  <si>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</si>
  <si>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</si>
  <si>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</si>
  <si>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</si>
  <si>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</si>
  <si>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</si>
  <si>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</si>
  <si>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</si>
  <si>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</si>
  <si>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</si>
  <si>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</si>
  <si>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</si>
  <si>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</si>
  <si>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</si>
  <si>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</si>
  <si>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</si>
  <si>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</si>
  <si>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</si>
  <si>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</si>
  <si>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</si>
  <si>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</si>
  <si>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</si>
  <si>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</si>
  <si>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</si>
  <si>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</si>
  <si>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</si>
  <si>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</si>
  <si>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</si>
  <si>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</si>
  <si>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</si>
  <si>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</si>
  <si>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</si>
  <si>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</si>
  <si>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</si>
  <si>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</si>
  <si>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</si>
  <si>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</si>
  <si>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</si>
  <si>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</si>
  <si>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</si>
  <si>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</si>
  <si>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</si>
  <si>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</si>
  <si>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</si>
  <si>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</si>
  <si>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</si>
  <si>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</si>
  <si>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</si>
  <si>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</si>
  <si>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</si>
  <si>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</si>
  <si>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</si>
  <si>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</si>
  <si>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</si>
  <si>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</si>
  <si>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</si>
  <si>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</si>
  <si>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</si>
  <si>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</si>
  <si>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</si>
  <si>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</si>
  <si>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</si>
  <si>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</si>
  <si>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</si>
  <si>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</si>
  <si>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</si>
  <si>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</si>
  <si>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</si>
  <si>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</si>
  <si>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</si>
  <si>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</si>
  <si>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</si>
  <si>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</si>
  <si>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</si>
  <si>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</si>
  <si>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</si>
  <si>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</si>
  <si>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</si>
  <si>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</si>
  <si>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</si>
  <si>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</si>
  <si>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</si>
  <si>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</si>
  <si>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</si>
  <si>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</si>
  <si>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</si>
  <si>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</si>
  <si>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</si>
  <si>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</si>
  <si>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</si>
  <si>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</si>
  <si>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</si>
  <si>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</si>
  <si>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</si>
  <si>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</si>
  <si>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</si>
  <si>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</si>
  <si>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</si>
  <si>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</si>
  <si>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</si>
  <si>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</si>
  <si>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</si>
  <si>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</si>
  <si>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</si>
  <si>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</si>
  <si>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</si>
  <si>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</si>
  <si>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</si>
  <si>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</si>
  <si>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</si>
  <si>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</si>
  <si>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</si>
  <si>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</si>
  <si>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</si>
  <si>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</si>
  <si>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</si>
  <si>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</si>
  <si>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</si>
  <si>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</si>
  <si>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</si>
  <si>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</si>
  <si>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</si>
  <si>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</si>
  <si>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</si>
  <si>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</si>
  <si>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</si>
  <si>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</si>
  <si>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</si>
  <si>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</si>
  <si>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</si>
  <si>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</si>
  <si>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</si>
  <si>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</si>
  <si>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</si>
  <si>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</si>
  <si>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</si>
  <si>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</si>
  <si>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</si>
  <si>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</si>
  <si>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</si>
  <si>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</si>
  <si>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</si>
  <si>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</si>
  <si>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</si>
  <si>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</si>
  <si>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</si>
  <si>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</si>
  <si>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</si>
  <si>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</si>
  <si>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</si>
  <si>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</si>
  <si>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</si>
  <si>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</si>
  <si>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</si>
  <si>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</si>
  <si>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</si>
  <si>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</si>
  <si>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</si>
  <si>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</si>
  <si>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</si>
  <si>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</si>
  <si>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</si>
  <si>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</si>
  <si>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</si>
  <si>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</si>
  <si>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</si>
  <si>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</si>
  <si>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</si>
  <si>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</si>
  <si>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</si>
  <si>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</si>
  <si>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</si>
  <si>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</si>
  <si>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</si>
  <si>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</si>
  <si>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</si>
  <si>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</si>
  <si>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</si>
  <si>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</si>
  <si>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</si>
  <si>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</si>
  <si>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</si>
  <si>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</si>
  <si>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</si>
  <si>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</si>
  <si>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</si>
  <si>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</si>
  <si>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</si>
  <si>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</si>
  <si>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</si>
  <si>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</si>
  <si>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</si>
  <si>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</si>
  <si>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</si>
  <si>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</si>
  <si>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</si>
  <si>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</si>
  <si>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</si>
  <si>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</si>
  <si>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</si>
  <si>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</si>
  <si>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</si>
  <si>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</si>
  <si>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</si>
  <si>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</si>
  <si>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</si>
  <si>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</si>
  <si>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</si>
  <si>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</si>
  <si>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</si>
  <si>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</si>
  <si>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</si>
  <si>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</si>
  <si>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</si>
  <si>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</si>
  <si>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</si>
  <si>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</si>
  <si>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</si>
  <si>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</si>
  <si>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</si>
  <si>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</si>
  <si>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</si>
  <si>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</si>
  <si>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</si>
  <si>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</si>
  <si>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</si>
  <si>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</si>
  <si>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</si>
  <si>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</si>
  <si>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</si>
  <si>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</si>
  <si>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</si>
  <si>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</si>
  <si>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</si>
  <si>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</si>
  <si>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</si>
  <si>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</si>
  <si>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</si>
  <si>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</si>
  <si>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</si>
  <si>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</si>
  <si>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</si>
  <si>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</si>
  <si>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</si>
  <si>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</si>
  <si>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</si>
  <si>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</si>
  <si>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</si>
  <si>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</si>
  <si>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</si>
  <si>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</si>
  <si>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</si>
  <si>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</si>
  <si>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</si>
  <si>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</si>
  <si>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</si>
  <si>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</si>
  <si>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</si>
  <si>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</si>
  <si>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</si>
  <si>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</si>
  <si>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</si>
  <si>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</si>
  <si>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</si>
  <si>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</si>
  <si>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</si>
  <si>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</si>
  <si>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</si>
  <si>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</si>
  <si>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</si>
  <si>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</si>
  <si>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</si>
  <si>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</si>
  <si>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</si>
  <si>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</si>
  <si>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</si>
  <si>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</si>
  <si>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</si>
  <si>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</si>
  <si>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</si>
  <si>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</si>
  <si>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</si>
  <si>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</si>
  <si>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</si>
  <si>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</si>
  <si>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</si>
  <si>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</si>
  <si>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</si>
  <si>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</si>
  <si>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</si>
  <si>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</si>
  <si>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</si>
  <si>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</si>
  <si>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</si>
  <si>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</si>
  <si>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</si>
  <si>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</si>
  <si>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</si>
  <si>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</si>
  <si>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</si>
  <si>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</si>
  <si>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</si>
  <si>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</si>
  <si>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</si>
  <si>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</si>
  <si>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</si>
  <si>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</si>
  <si>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</si>
  <si>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</si>
  <si>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</si>
  <si>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</si>
  <si>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</si>
  <si>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</si>
  <si>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</si>
  <si>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</si>
  <si>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</si>
  <si>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</si>
  <si>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</si>
  <si>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</si>
  <si>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</si>
  <si>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</si>
  <si>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</si>
  <si>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</si>
  <si>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</si>
  <si>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</si>
  <si>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</si>
  <si>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</si>
  <si>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</si>
  <si>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</si>
  <si>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</si>
  <si>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</si>
  <si>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</si>
  <si>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</si>
  <si>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</si>
  <si>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</si>
  <si>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</si>
  <si>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</si>
  <si>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</si>
  <si>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</si>
  <si>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</si>
  <si>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</si>
  <si>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</si>
  <si>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</si>
  <si>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</si>
  <si>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</si>
  <si>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</si>
  <si>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</si>
  <si>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</si>
  <si>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</si>
  <si>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</si>
  <si>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</si>
  <si>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</si>
  <si>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</si>
  <si>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</si>
  <si>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</si>
  <si>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</si>
  <si>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</si>
  <si>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</si>
  <si>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</si>
  <si>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</si>
  <si>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</si>
  <si>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</si>
  <si>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</si>
  <si>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</si>
  <si>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</si>
  <si>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</si>
  <si>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</si>
  <si>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</si>
  <si>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</si>
  <si>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</si>
  <si>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</si>
  <si>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</si>
  <si>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</si>
  <si>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</si>
  <si>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</si>
  <si>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</si>
  <si>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</si>
  <si>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</si>
  <si>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</si>
  <si>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</si>
  <si>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</si>
  <si>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</si>
  <si>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</si>
  <si>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</si>
  <si>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</si>
  <si>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</si>
  <si>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</si>
  <si>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</si>
  <si>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</si>
  <si>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</si>
  <si>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</si>
  <si>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</si>
  <si>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</si>
  <si>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</si>
  <si>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</si>
  <si>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</si>
  <si>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</si>
  <si>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</si>
  <si>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</si>
  <si>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</si>
  <si>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</si>
  <si>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</si>
  <si>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</si>
  <si>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</si>
  <si>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</si>
  <si>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</si>
  <si>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</si>
  <si>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</si>
  <si>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</si>
  <si>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</si>
  <si>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</si>
  <si>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</si>
  <si>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</si>
  <si>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</si>
  <si>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</si>
  <si>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</si>
  <si>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</si>
  <si>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</si>
  <si>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</si>
  <si>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</si>
  <si>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</si>
  <si>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</si>
  <si>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</si>
  <si>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</si>
  <si>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</si>
  <si>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</si>
  <si>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</si>
  <si>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</si>
  <si>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</si>
  <si>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</si>
  <si>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</si>
  <si>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</si>
  <si>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</si>
  <si>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</si>
  <si>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</si>
  <si>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</si>
  <si>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</si>
  <si>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</si>
  <si>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</si>
  <si>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</si>
  <si>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</si>
  <si>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</si>
  <si>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</si>
  <si>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</si>
  <si>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</si>
  <si>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</si>
  <si>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</si>
  <si>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</si>
  <si>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</si>
  <si>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</si>
  <si>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</si>
  <si>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</si>
  <si>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</si>
  <si>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</si>
  <si>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</si>
  <si>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</si>
  <si>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</si>
  <si>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</si>
  <si>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</si>
  <si>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</si>
  <si>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</si>
  <si>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</si>
  <si>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</si>
  <si>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</si>
  <si>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</si>
  <si>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</si>
  <si>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</si>
  <si>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</si>
  <si>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</si>
  <si>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</si>
  <si>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</si>
  <si>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</si>
  <si>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</si>
  <si>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</si>
  <si>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</si>
  <si>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</si>
  <si>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</si>
  <si>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</si>
  <si>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</si>
  <si>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</si>
  <si>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</si>
  <si>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</si>
  <si>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</si>
  <si>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</si>
  <si>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</si>
  <si>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</si>
  <si>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</si>
  <si>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</si>
  <si>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</si>
  <si>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</si>
  <si>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</si>
  <si>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</si>
  <si>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</si>
  <si>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</si>
  <si>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</si>
  <si>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</si>
  <si>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</si>
  <si>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</si>
  <si>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</si>
  <si>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</si>
  <si>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</si>
  <si>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</si>
  <si>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</si>
  <si>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</si>
  <si>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</si>
  <si>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</si>
  <si>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</si>
  <si>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</si>
  <si>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</si>
  <si>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</si>
  <si>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</si>
  <si>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</si>
  <si>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</si>
  <si>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</si>
  <si>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</si>
  <si>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</si>
  <si>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</si>
  <si>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</si>
  <si>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</si>
  <si>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</si>
  <si>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</si>
  <si>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</si>
  <si>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</si>
  <si>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</si>
  <si>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</si>
  <si>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</si>
  <si>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</si>
  <si>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</si>
  <si>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</si>
  <si>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</si>
  <si>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</si>
  <si>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</si>
  <si>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</si>
  <si>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</si>
  <si>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</si>
  <si>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</si>
  <si>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</si>
  <si>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</si>
  <si>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</si>
  <si>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</si>
  <si>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</si>
  <si>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</si>
  <si>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</si>
  <si>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</si>
  <si>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</si>
  <si>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</si>
  <si>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</si>
  <si>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</si>
  <si>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</si>
  <si>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</si>
  <si>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</si>
  <si>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</si>
  <si>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</si>
  <si>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</si>
  <si>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</si>
  <si>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</si>
  <si>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</si>
  <si>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</si>
  <si>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</si>
  <si>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</si>
  <si>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</si>
  <si>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</si>
  <si>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</si>
  <si>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</si>
  <si>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</si>
  <si>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</si>
  <si>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</si>
  <si>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</si>
  <si>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</si>
  <si>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</si>
  <si>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</si>
  <si>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</si>
  <si>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</si>
  <si>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</si>
  <si>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</si>
  <si>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</si>
  <si>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</si>
  <si>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</si>
  <si>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</si>
  <si>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</si>
  <si>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</si>
  <si>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</si>
  <si>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</si>
  <si>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</si>
  <si>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</si>
  <si>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</si>
  <si>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</si>
  <si>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</si>
  <si>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</si>
  <si>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</si>
  <si>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</si>
  <si>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</si>
  <si>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</si>
  <si>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</si>
  <si>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</si>
  <si>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</si>
  <si>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</si>
  <si>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</si>
  <si>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</si>
  <si>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</si>
  <si>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</si>
  <si>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</si>
  <si>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</si>
  <si>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</si>
  <si>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</si>
  <si>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</si>
  <si>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</si>
  <si>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</si>
  <si>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</si>
  <si>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</si>
  <si>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</si>
  <si>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</si>
  <si>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</si>
  <si>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</si>
  <si>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</si>
  <si>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</si>
  <si>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</si>
  <si>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</si>
  <si>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</si>
  <si>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</si>
  <si>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</si>
  <si>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</si>
  <si>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</si>
  <si>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</si>
  <si>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</si>
  <si>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</si>
  <si>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</si>
  <si>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</si>
  <si>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</si>
  <si>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</si>
  <si>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</si>
  <si>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</si>
  <si>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</si>
  <si>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</si>
  <si>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</si>
  <si>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</si>
  <si>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</si>
  <si>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</si>
  <si>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</si>
  <si>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</si>
  <si>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</si>
  <si>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</si>
  <si>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</si>
  <si>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</si>
  <si>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</si>
  <si>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</si>
  <si>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</si>
  <si>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</si>
  <si>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</si>
  <si>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</si>
  <si>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</si>
  <si>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</si>
  <si>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</si>
  <si>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</si>
  <si>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</si>
  <si>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</si>
  <si>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</si>
  <si>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</si>
  <si>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</si>
  <si>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</si>
  <si>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</si>
  <si>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</si>
  <si>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</si>
  <si>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</si>
  <si>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</si>
  <si>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</si>
  <si>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</si>
  <si>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</si>
  <si>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</si>
  <si>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</si>
  <si>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</si>
  <si>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</si>
  <si>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</si>
  <si>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</si>
  <si>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</si>
  <si>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</si>
  <si>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</si>
  <si>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</si>
  <si>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</si>
  <si>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</si>
  <si>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</si>
  <si>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</si>
  <si>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</si>
  <si>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</si>
  <si>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</si>
  <si>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</si>
  <si>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</si>
  <si>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</si>
  <si>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</si>
  <si>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</si>
  <si>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</si>
  <si>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</si>
  <si>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</si>
  <si>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</si>
  <si>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</si>
  <si>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</si>
  <si>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</si>
  <si>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</si>
  <si>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</si>
  <si>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</si>
  <si>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</si>
  <si>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</si>
  <si>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</si>
  <si>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</si>
  <si>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</si>
  <si>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</si>
  <si>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</si>
  <si>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</si>
  <si>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</si>
  <si>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</si>
  <si>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</si>
  <si>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</si>
  <si>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</si>
  <si>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</si>
  <si>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</si>
  <si>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</si>
  <si>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</si>
  <si>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</si>
  <si>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</si>
  <si>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</si>
  <si>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</si>
  <si>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</si>
  <si>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</si>
  <si>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</si>
  <si>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</si>
  <si>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</si>
  <si>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</si>
  <si>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</si>
  <si>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</si>
  <si>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</si>
  <si>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</si>
  <si>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</si>
  <si>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</si>
  <si>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</si>
  <si>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</si>
  <si>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</si>
  <si>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</si>
  <si>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</si>
  <si>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</si>
  <si>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</si>
  <si>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</si>
  <si>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</si>
  <si>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</si>
  <si>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</si>
  <si>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</si>
  <si>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</si>
  <si>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</si>
  <si>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</si>
  <si>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</si>
  <si>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</si>
  <si>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</si>
  <si>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</si>
  <si>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</si>
  <si>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</si>
  <si>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</si>
  <si>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</si>
  <si>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</si>
  <si>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</si>
  <si>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</si>
  <si>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</si>
  <si>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</si>
  <si>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</si>
  <si>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</si>
  <si>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</si>
  <si>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</si>
  <si>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</si>
  <si>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</si>
  <si>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</si>
  <si>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</si>
  <si>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</si>
  <si>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</si>
  <si>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</si>
  <si>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</si>
  <si>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</si>
  <si>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</si>
  <si>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</si>
  <si>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</si>
  <si>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</si>
  <si>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</si>
  <si>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</si>
  <si>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</si>
  <si>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</si>
  <si>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</si>
  <si>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</si>
  <si>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</si>
  <si>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</si>
  <si>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</si>
  <si>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</si>
  <si>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</si>
  <si>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</si>
  <si>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</si>
  <si>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</si>
  <si>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</si>
  <si>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</si>
  <si>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</si>
  <si>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</si>
  <si>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</si>
  <si>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</si>
  <si>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</si>
  <si>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</si>
  <si>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</si>
  <si>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</si>
  <si>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</si>
  <si>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</si>
  <si>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</si>
  <si>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</si>
  <si>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</si>
  <si>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</si>
  <si>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</si>
  <si>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</si>
  <si>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</si>
  <si>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</si>
  <si>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</si>
  <si>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</si>
  <si>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</si>
  <si>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</si>
  <si>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</si>
  <si>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</si>
  <si>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</si>
  <si>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</si>
  <si>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</si>
  <si>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</si>
  <si>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</si>
  <si>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</si>
  <si>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</si>
  <si>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</si>
  <si>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</si>
  <si>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</si>
  <si>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</si>
  <si>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</si>
  <si>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</si>
  <si>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</si>
  <si>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</si>
  <si>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</si>
  <si>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</si>
  <si>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</si>
  <si>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</si>
  <si>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</si>
  <si>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</si>
  <si>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</si>
  <si>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</si>
  <si>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</si>
  <si>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</si>
  <si>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</si>
  <si>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</si>
  <si>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</si>
  <si>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</si>
  <si>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</si>
  <si>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</si>
  <si>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</si>
  <si>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</si>
  <si>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</si>
  <si>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</si>
  <si>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</si>
  <si>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</si>
  <si>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</si>
  <si>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</si>
  <si>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</si>
  <si>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</si>
  <si>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</si>
  <si>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</si>
  <si>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</si>
  <si>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</si>
  <si>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</si>
  <si>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</si>
  <si>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</si>
  <si>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</si>
  <si>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</si>
  <si>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</si>
  <si>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</si>
  <si>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</si>
  <si>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</si>
  <si>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</si>
  <si>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</si>
  <si>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</si>
  <si>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</si>
  <si>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</si>
  <si>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</si>
  <si>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</si>
  <si>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</si>
  <si>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</si>
  <si>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</si>
  <si>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</si>
  <si>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</si>
  <si>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</si>
  <si>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</si>
  <si>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</si>
  <si>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</si>
  <si>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</si>
  <si>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</si>
  <si>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</si>
  <si>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</si>
  <si>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</si>
  <si>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</si>
  <si>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</si>
  <si>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</si>
  <si>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</si>
  <si>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</si>
  <si>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</si>
  <si>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</si>
  <si>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</si>
  <si>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</si>
  <si>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</si>
  <si>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</si>
  <si>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</si>
  <si>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</si>
  <si>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</si>
  <si>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</si>
  <si>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</si>
  <si>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</si>
  <si>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</si>
  <si>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</si>
  <si>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</si>
  <si>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</si>
  <si>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</si>
  <si>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</si>
  <si>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</si>
  <si>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</si>
  <si>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</si>
  <si>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</si>
  <si>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</si>
  <si>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</si>
  <si>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</si>
  <si>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</si>
  <si>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</si>
  <si>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</si>
  <si>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</si>
  <si>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</si>
  <si>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</si>
  <si>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</si>
  <si>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</si>
  <si>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</si>
  <si>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</si>
  <si>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</si>
  <si>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</si>
  <si>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</si>
  <si>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</si>
  <si>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</si>
  <si>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</si>
  <si>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</si>
  <si>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</si>
  <si>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</si>
  <si>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</si>
  <si>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</si>
  <si>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</si>
  <si>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</si>
  <si>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</si>
  <si>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</si>
  <si>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</si>
  <si>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</si>
  <si>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</si>
  <si>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</si>
  <si>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</si>
  <si>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</si>
  <si>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</si>
  <si>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</si>
  <si>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</si>
  <si>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</si>
  <si>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</si>
  <si>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</si>
  <si>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</si>
  <si>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</si>
  <si>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</si>
  <si>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</si>
  <si>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</si>
  <si>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</si>
  <si>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</si>
  <si>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</si>
  <si>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</si>
  <si>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</si>
  <si>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</si>
  <si>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</si>
  <si>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</si>
  <si>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</si>
  <si>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</si>
  <si>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</si>
  <si>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</si>
  <si>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</si>
  <si>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</si>
  <si>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</si>
  <si>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</si>
  <si>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</si>
  <si>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</si>
  <si>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</si>
  <si>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</si>
  <si>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</si>
  <si>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</si>
  <si>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</si>
  <si>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</si>
  <si>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</si>
  <si>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</si>
  <si>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</si>
  <si>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</si>
  <si>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</si>
  <si>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</si>
  <si>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</si>
  <si>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</si>
  <si>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</si>
  <si>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</si>
  <si>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</si>
  <si>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</si>
  <si>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</si>
  <si>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</si>
  <si>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</si>
  <si>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</si>
  <si>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</si>
  <si>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</si>
  <si>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</si>
  <si>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</si>
  <si>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</si>
  <si>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</si>
  <si>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</si>
  <si>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</si>
  <si>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</si>
  <si>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</si>
  <si>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</si>
  <si>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</si>
  <si>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</si>
  <si>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</si>
  <si>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</si>
  <si>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</si>
  <si>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</si>
  <si>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</si>
  <si>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</si>
  <si>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</si>
  <si>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</si>
  <si>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</si>
  <si>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</si>
  <si>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</si>
  <si>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</si>
  <si>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</si>
  <si>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</si>
  <si>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</si>
  <si>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</si>
  <si>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</si>
  <si>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</si>
  <si>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</si>
  <si>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</si>
  <si>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</si>
  <si>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</si>
  <si>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</si>
  <si>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</si>
  <si>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</si>
  <si>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</si>
  <si>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</si>
  <si>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</si>
  <si>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</si>
  <si>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</si>
  <si>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</si>
  <si>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</si>
  <si>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</si>
  <si>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</si>
  <si>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</si>
  <si>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</si>
  <si>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</si>
  <si>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</si>
  <si>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</si>
  <si>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</si>
  <si>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</si>
  <si>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</si>
  <si>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</si>
  <si>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</si>
  <si>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</si>
  <si>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</si>
  <si>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</si>
  <si>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</si>
  <si>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</si>
  <si>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</si>
  <si>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</si>
  <si>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</si>
  <si>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</si>
  <si>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</si>
  <si>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</si>
  <si>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</si>
  <si>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</si>
  <si>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</si>
  <si>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</si>
  <si>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</si>
  <si>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</si>
  <si>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</si>
  <si>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</si>
  <si>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</si>
  <si>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</si>
  <si>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</si>
  <si>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</si>
  <si>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</si>
  <si>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</si>
  <si>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</si>
  <si>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</si>
  <si>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</si>
  <si>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</si>
  <si>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</si>
  <si>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</si>
  <si>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</si>
  <si>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</si>
  <si>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</si>
  <si>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</si>
  <si>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</si>
  <si>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</si>
  <si>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</si>
  <si>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</si>
  <si>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</si>
  <si>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</si>
  <si>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</si>
  <si>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</si>
  <si>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</si>
  <si>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</si>
  <si>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</si>
  <si>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</si>
  <si>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</si>
  <si>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</si>
  <si>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</si>
  <si>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</si>
  <si>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</si>
  <si>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</si>
  <si>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</si>
  <si>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</si>
  <si>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</si>
  <si>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</si>
  <si>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</si>
  <si>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</si>
  <si>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</si>
  <si>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</si>
  <si>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</si>
  <si>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</si>
  <si>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</si>
  <si>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</si>
  <si>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</si>
  <si>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</si>
  <si>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</si>
  <si>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</si>
  <si>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</si>
  <si>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</si>
  <si>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</si>
  <si>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</si>
  <si>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</si>
  <si>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</si>
  <si>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</si>
  <si>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</si>
  <si>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</si>
  <si>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</si>
  <si>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</si>
  <si>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</si>
  <si>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</si>
  <si>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</si>
  <si>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</si>
  <si>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</si>
  <si>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</si>
  <si>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</si>
  <si>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</si>
  <si>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</si>
  <si>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</si>
  <si>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</si>
  <si>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</si>
  <si>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</si>
  <si>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</si>
  <si>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</si>
  <si>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</si>
  <si>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</si>
  <si>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</si>
  <si>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</si>
  <si>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</si>
  <si>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</si>
  <si>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</si>
  <si>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</si>
  <si>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</si>
  <si>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</si>
  <si>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</si>
  <si>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</si>
  <si>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</si>
  <si>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</si>
  <si>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</si>
  <si>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</si>
  <si>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</si>
  <si>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</si>
  <si>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</si>
  <si>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</si>
  <si>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</si>
  <si>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</si>
  <si>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</si>
  <si>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</si>
  <si>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</si>
  <si>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</si>
  <si>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</si>
  <si>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</si>
  <si>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</si>
  <si>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</si>
  <si>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</si>
  <si>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</si>
  <si>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</si>
  <si>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</si>
  <si>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</si>
  <si>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</si>
  <si>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</si>
  <si>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</si>
  <si>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</si>
  <si>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</si>
  <si>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</si>
  <si>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</si>
  <si>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</si>
  <si>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</si>
  <si>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</si>
  <si>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</si>
  <si>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</si>
  <si>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</si>
  <si>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</si>
  <si>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</si>
  <si>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</si>
  <si>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</si>
  <si>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</si>
  <si>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</si>
  <si>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</si>
  <si>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</si>
  <si>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</si>
  <si>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</si>
  <si>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</si>
  <si>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</si>
  <si>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</si>
  <si>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</si>
  <si>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</si>
  <si>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</si>
  <si>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</si>
  <si>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</si>
  <si>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</si>
  <si>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</si>
  <si>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</si>
  <si>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</si>
  <si>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</si>
  <si>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</si>
  <si>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</si>
  <si>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</si>
  <si>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</si>
  <si>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</si>
  <si>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</si>
  <si>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</si>
  <si>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</si>
  <si>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</si>
  <si>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</si>
  <si>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</si>
  <si>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</si>
  <si>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</si>
  <si>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</si>
  <si>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</si>
  <si>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</si>
  <si>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</si>
  <si>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</si>
  <si>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</si>
  <si>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</si>
  <si>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</si>
  <si>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</si>
  <si>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</si>
  <si>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</si>
  <si>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</si>
  <si>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</si>
  <si>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</si>
  <si>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</si>
  <si>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</si>
  <si>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</si>
  <si>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</si>
  <si>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</si>
  <si>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</si>
  <si>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</si>
  <si>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</si>
  <si>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</si>
  <si>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</si>
  <si>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</si>
  <si>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</si>
  <si>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</si>
  <si>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</si>
  <si>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</si>
  <si>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</si>
  <si>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</si>
  <si>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</si>
  <si>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</si>
  <si>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</si>
  <si>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</si>
  <si>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</si>
  <si>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</si>
  <si>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</si>
  <si>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</si>
  <si>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</si>
  <si>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</si>
  <si>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</si>
  <si>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</si>
  <si>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</si>
  <si>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</si>
  <si>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</si>
  <si>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</si>
  <si>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</si>
  <si>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</si>
  <si>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</si>
  <si>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</si>
  <si>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</si>
  <si>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</si>
  <si>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</si>
  <si>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</si>
  <si>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</si>
  <si>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</si>
  <si>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</si>
  <si>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</si>
  <si>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</si>
  <si>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</si>
  <si>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</si>
  <si>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</si>
  <si>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</si>
  <si>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</si>
  <si>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</si>
  <si>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</si>
  <si>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</si>
  <si>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</si>
  <si>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</si>
  <si>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</si>
  <si>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</si>
  <si>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</si>
  <si>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</si>
  <si>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</si>
  <si>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</si>
  <si>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</si>
  <si>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</si>
  <si>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</si>
  <si>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</si>
  <si>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</si>
  <si>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</si>
  <si>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</si>
  <si>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</si>
  <si>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</si>
  <si>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</si>
  <si>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</si>
  <si>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</si>
  <si>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</si>
  <si>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</si>
  <si>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</si>
  <si>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</si>
  <si>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</si>
  <si>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</si>
  <si>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</si>
  <si>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</si>
  <si>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</si>
  <si>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</si>
  <si>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</si>
  <si>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</si>
  <si>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</si>
  <si>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</si>
  <si>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</si>
  <si>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</si>
  <si>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</si>
  <si>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</si>
  <si>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</si>
  <si>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</si>
  <si>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</si>
  <si>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</si>
  <si>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</si>
  <si>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</si>
  <si>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</si>
  <si>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</si>
  <si>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</si>
  <si>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</si>
  <si>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</si>
  <si>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</si>
  <si>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</si>
  <si>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</si>
  <si>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</si>
  <si>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</si>
  <si>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</si>
  <si>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</si>
  <si>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</si>
  <si>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</si>
  <si>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</si>
  <si>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</si>
  <si>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</si>
  <si>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</si>
  <si>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</si>
  <si>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</si>
  <si>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</si>
  <si>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</si>
  <si>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</si>
  <si>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</si>
  <si>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</si>
  <si>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</si>
  <si>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</si>
  <si>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</si>
  <si>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</si>
  <si>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</si>
  <si>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</si>
  <si>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</si>
  <si>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</si>
  <si>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</si>
  <si>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</si>
  <si>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</si>
  <si>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</si>
  <si>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</si>
  <si>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</si>
  <si>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</si>
  <si>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</si>
  <si>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</si>
  <si>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</si>
  <si>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</si>
  <si>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</si>
  <si>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</si>
  <si>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</si>
  <si>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</si>
  <si>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</si>
  <si>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</si>
  <si>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</si>
  <si>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</si>
  <si>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</si>
  <si>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</si>
  <si>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</si>
  <si>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</si>
  <si>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</si>
  <si>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</si>
  <si>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</si>
  <si>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</si>
  <si>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</si>
  <si>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</si>
  <si>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</si>
  <si>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</si>
  <si>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</si>
  <si>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</si>
  <si>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</si>
  <si>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</si>
  <si>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</si>
  <si>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</si>
  <si>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</si>
  <si>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</si>
  <si>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</si>
  <si>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</si>
  <si>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</si>
  <si>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</si>
  <si>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</si>
  <si>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</si>
  <si>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</si>
  <si>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</si>
  <si>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</si>
  <si>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</si>
  <si>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</si>
  <si>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</si>
  <si>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</si>
  <si>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</si>
  <si>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</si>
  <si>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</si>
  <si>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</si>
  <si>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</si>
  <si>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</si>
  <si>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</si>
  <si>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</si>
  <si>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</si>
  <si>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</si>
  <si>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</si>
  <si>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</si>
  <si>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</si>
  <si>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</si>
  <si>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</si>
  <si>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</si>
  <si>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</si>
  <si>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</si>
  <si>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</si>
  <si>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</si>
  <si>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</si>
  <si>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</si>
  <si>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</si>
  <si>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</si>
  <si>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</si>
  <si>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</si>
  <si>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</si>
  <si>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</si>
  <si>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</si>
  <si>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</si>
  <si>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</si>
  <si>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</si>
  <si>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</si>
  <si>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</si>
  <si>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</si>
  <si>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</si>
  <si>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</si>
  <si>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</si>
  <si>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</si>
  <si>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</si>
  <si>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</si>
  <si>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</si>
  <si>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</si>
  <si>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</si>
  <si>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</si>
  <si>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</si>
  <si>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</si>
  <si>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</si>
  <si>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</si>
  <si>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</si>
  <si>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</si>
  <si>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</si>
  <si>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</si>
  <si>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</si>
  <si>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</si>
  <si>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</si>
  <si>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</si>
  <si>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</si>
  <si>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</si>
  <si>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</si>
  <si>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</si>
  <si>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</si>
  <si>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</si>
  <si>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</si>
  <si>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</si>
  <si>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</si>
  <si>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</si>
  <si>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</si>
  <si>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</si>
  <si>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</si>
  <si>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</si>
  <si>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</si>
  <si>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</si>
  <si>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</si>
  <si>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</si>
  <si>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</si>
  <si>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</si>
  <si>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</si>
  <si>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</si>
  <si>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</si>
  <si>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</si>
  <si>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</si>
  <si>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</si>
  <si>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</si>
  <si>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</si>
  <si>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</si>
  <si>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</si>
  <si>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</si>
  <si>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</si>
  <si>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</si>
  <si>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</si>
  <si>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</si>
  <si>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</si>
  <si>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</si>
  <si>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</si>
  <si>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</si>
  <si>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</si>
  <si>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</si>
  <si>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</si>
  <si>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</si>
  <si>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</si>
  <si>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</si>
  <si>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</si>
  <si>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</si>
  <si>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</si>
  <si>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</si>
  <si>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</si>
  <si>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</si>
  <si>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</si>
  <si>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</si>
  <si>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</si>
  <si>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</si>
  <si>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</si>
  <si>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</si>
  <si>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</si>
  <si>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</si>
  <si>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</si>
  <si>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</si>
  <si>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</si>
  <si>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</si>
  <si>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</si>
  <si>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</si>
  <si>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</si>
  <si>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</si>
  <si>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</si>
  <si>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</si>
  <si>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</si>
  <si>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</si>
  <si>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</si>
  <si>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</si>
  <si>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</si>
  <si>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</si>
  <si>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</si>
  <si>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</si>
  <si>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</si>
  <si>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</si>
  <si>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</si>
  <si>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</si>
  <si>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</si>
  <si>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</si>
  <si>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</si>
  <si>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</si>
  <si>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</si>
  <si>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</si>
  <si>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</si>
  <si>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</si>
  <si>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</si>
  <si>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</si>
  <si>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</si>
  <si>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</si>
  <si>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</si>
  <si>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</si>
  <si>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</si>
  <si>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</si>
  <si>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</si>
  <si>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</si>
  <si>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</si>
  <si>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</si>
  <si>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</si>
  <si>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</si>
  <si>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</si>
  <si>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</si>
  <si>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</si>
  <si>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</si>
  <si>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</si>
  <si>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</si>
  <si>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</si>
  <si>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</si>
  <si>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</si>
  <si>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</si>
  <si>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</si>
  <si>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</si>
  <si>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</si>
  <si>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</si>
  <si>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</si>
  <si>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</si>
  <si>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</si>
  <si>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</si>
  <si>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</si>
  <si>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</si>
  <si>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</si>
  <si>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</si>
  <si>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</si>
  <si>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</si>
  <si>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</si>
  <si>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</si>
  <si>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</si>
  <si>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</si>
  <si>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</si>
  <si>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</si>
  <si>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</si>
  <si>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</si>
  <si>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</si>
  <si>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</si>
  <si>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</si>
  <si>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</si>
  <si>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</si>
  <si>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</si>
  <si>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</si>
  <si>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</si>
  <si>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</si>
  <si>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</si>
  <si>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</si>
  <si>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</si>
  <si>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</si>
  <si>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</si>
  <si>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</si>
  <si>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</si>
  <si>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</si>
  <si>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</si>
  <si>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</si>
  <si>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</si>
  <si>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</si>
  <si>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</si>
  <si>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</si>
  <si>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</si>
  <si>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</si>
  <si>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</si>
  <si>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</si>
  <si>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</si>
  <si>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</si>
  <si>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</si>
  <si>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</si>
  <si>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</si>
  <si>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</si>
  <si>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</si>
  <si>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</si>
  <si>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</si>
  <si>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</si>
  <si>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</si>
  <si>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</si>
  <si>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</si>
  <si>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</si>
  <si>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</si>
  <si>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</si>
  <si>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</si>
  <si>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</si>
  <si>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</si>
  <si>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</si>
  <si>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</si>
  <si>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</si>
  <si>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</si>
  <si>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</si>
  <si>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</si>
  <si>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</si>
  <si>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</si>
  <si>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</si>
  <si>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</si>
  <si>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</si>
  <si>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</si>
  <si>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</si>
  <si>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</si>
  <si>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</si>
  <si>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</si>
  <si>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</si>
  <si>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</si>
  <si>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</si>
  <si>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</si>
  <si>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</si>
  <si>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</si>
  <si>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</si>
  <si>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</si>
  <si>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</si>
  <si>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</si>
  <si>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</si>
  <si>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</si>
  <si>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</si>
  <si>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</si>
  <si>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</si>
  <si>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</si>
  <si>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</si>
  <si>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</si>
  <si>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</si>
  <si>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</si>
  <si>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</si>
  <si>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</si>
  <si>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</si>
  <si>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</si>
  <si>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</si>
  <si>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</si>
  <si>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</si>
  <si>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</si>
  <si>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</si>
  <si>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</si>
  <si>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</si>
  <si>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</si>
  <si>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</si>
  <si>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</si>
  <si>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</si>
  <si>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</si>
  <si>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</si>
  <si>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</si>
  <si>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</si>
  <si>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</si>
  <si>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</si>
  <si>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</si>
  <si>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</si>
  <si>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</si>
  <si>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</si>
  <si>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</si>
  <si>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</si>
  <si>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</si>
  <si>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</si>
  <si>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</si>
  <si>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</si>
  <si>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</si>
  <si>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</si>
  <si>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</si>
  <si>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</si>
  <si>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</si>
  <si>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</si>
  <si>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</si>
  <si>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</si>
  <si>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</si>
  <si>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</si>
  <si>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</si>
  <si>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</si>
  <si>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</si>
  <si>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</si>
  <si>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</si>
  <si>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</si>
  <si>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</si>
  <si>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</si>
  <si>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</si>
  <si>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</si>
  <si>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</si>
  <si>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</si>
  <si>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</si>
  <si>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</si>
  <si>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</si>
  <si>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</si>
  <si>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</si>
  <si>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</si>
  <si>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</si>
  <si>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</si>
  <si>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</si>
  <si>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</si>
  <si>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</si>
  <si>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</si>
  <si>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</si>
  <si>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</si>
  <si>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</si>
  <si>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</si>
  <si>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</si>
  <si>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</si>
  <si>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</si>
  <si>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</si>
  <si>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</si>
  <si>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</si>
  <si>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</si>
  <si>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</si>
  <si>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</si>
  <si>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</si>
  <si>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</si>
  <si>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</si>
  <si>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</si>
  <si>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</si>
  <si>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</si>
  <si>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</si>
  <si>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</si>
  <si>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</si>
  <si>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</si>
  <si>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</si>
  <si>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</si>
  <si>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</si>
  <si>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</si>
  <si>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</si>
  <si>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</si>
  <si>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</si>
  <si>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</si>
  <si>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</si>
  <si>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</si>
  <si>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</si>
  <si>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</si>
  <si>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</si>
  <si>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</si>
  <si>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</si>
  <si>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</si>
  <si>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</si>
  <si>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</si>
  <si>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</si>
  <si>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</si>
  <si>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</si>
  <si>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</si>
  <si>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</si>
  <si>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</si>
  <si>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</si>
  <si>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</si>
  <si>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</si>
  <si>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</si>
  <si>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</si>
  <si>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</si>
  <si>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</si>
  <si>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</si>
  <si>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</si>
  <si>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</si>
  <si>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</si>
  <si>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</si>
  <si>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</si>
  <si>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</si>
  <si>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</si>
  <si>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</si>
  <si>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</si>
  <si>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</si>
  <si>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</si>
  <si>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</si>
  <si>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</si>
  <si>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</si>
  <si>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</si>
  <si>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</si>
  <si>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</si>
  <si>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</si>
  <si>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</si>
  <si>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</si>
  <si>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</si>
  <si>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</si>
  <si>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</si>
  <si>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</si>
  <si>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</si>
  <si>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</si>
  <si>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</si>
  <si>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</si>
  <si>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</si>
  <si>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</si>
  <si>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</si>
  <si>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</si>
  <si>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</si>
  <si>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</si>
  <si>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</si>
  <si>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</si>
  <si>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</si>
  <si>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</si>
  <si>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</si>
  <si>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</si>
  <si>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</si>
  <si>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</si>
  <si>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</si>
  <si>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</si>
  <si>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</si>
  <si>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</si>
  <si>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</si>
  <si>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</si>
  <si>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</si>
  <si>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</si>
  <si>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</si>
  <si>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</si>
  <si>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</si>
  <si>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</si>
  <si>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</si>
  <si>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</si>
  <si>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</si>
  <si>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</si>
  <si>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</si>
  <si>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</si>
  <si>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</si>
  <si>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</si>
  <si>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</si>
  <si>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</si>
  <si>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</si>
  <si>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</si>
  <si>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</si>
  <si>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</si>
  <si>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</si>
  <si>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</si>
  <si>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</si>
  <si>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</si>
  <si>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</si>
  <si>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</si>
  <si>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</si>
  <si>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</si>
  <si>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</si>
  <si>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</si>
  <si>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</si>
  <si>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</si>
  <si>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</si>
  <si>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</si>
  <si>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</si>
  <si>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</si>
  <si>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</si>
  <si>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</si>
  <si>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</si>
  <si>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</si>
  <si>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</si>
  <si>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</si>
  <si>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</si>
  <si>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</si>
  <si>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</si>
  <si>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</si>
  <si>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</si>
  <si>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</si>
  <si>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</si>
  <si>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</si>
  <si>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</si>
  <si>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</si>
  <si>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</si>
  <si>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</si>
  <si>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</si>
  <si>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</si>
  <si>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</si>
  <si>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</si>
  <si>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</si>
  <si>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</si>
  <si>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</si>
  <si>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</si>
  <si>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</si>
  <si>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</si>
  <si>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</si>
  <si>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</si>
  <si>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</si>
  <si>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</si>
  <si>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</si>
  <si>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</si>
  <si>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</si>
  <si>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</si>
  <si>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</si>
  <si>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</si>
  <si>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</si>
  <si>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</si>
  <si>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</si>
  <si>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</si>
  <si>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</si>
  <si>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</si>
  <si>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</si>
  <si>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</si>
  <si>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</si>
  <si>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</si>
  <si>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</si>
  <si>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</si>
  <si>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</si>
  <si>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</si>
  <si>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</si>
  <si>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</si>
  <si>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</si>
  <si>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</si>
  <si>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</si>
  <si>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</si>
  <si>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</si>
  <si>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</si>
  <si>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</si>
  <si>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</si>
  <si>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</si>
  <si>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</si>
  <si>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</si>
  <si>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</si>
  <si>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</si>
  <si>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</si>
  <si>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</si>
  <si>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</si>
  <si>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</si>
  <si>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</si>
  <si>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</si>
  <si>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</si>
  <si>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</si>
  <si>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</si>
  <si>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</si>
  <si>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</si>
  <si>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</si>
  <si>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</si>
  <si>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</si>
  <si>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</si>
  <si>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</si>
  <si>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</si>
  <si>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</si>
  <si>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</si>
  <si>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</si>
  <si>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</si>
  <si>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</si>
  <si>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</si>
  <si>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</si>
  <si>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</si>
  <si>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</si>
  <si>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</si>
  <si>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</si>
  <si>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</si>
  <si>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</si>
  <si>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</si>
  <si>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</si>
  <si>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</si>
  <si>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</si>
  <si>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</si>
  <si>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</si>
  <si>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</si>
  <si>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</si>
  <si>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</si>
  <si>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</si>
  <si>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</si>
  <si>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</si>
  <si>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</si>
  <si>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</si>
  <si>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</si>
  <si>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</si>
  <si>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</si>
  <si>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</si>
  <si>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</si>
  <si>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</si>
  <si>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</si>
  <si>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</si>
  <si>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</si>
  <si>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</si>
  <si>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</si>
  <si>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</si>
  <si>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</si>
  <si>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</si>
  <si>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</si>
  <si>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</si>
  <si>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</si>
  <si>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</si>
  <si>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</si>
  <si>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</si>
  <si>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</si>
  <si>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</si>
  <si>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</si>
  <si>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</si>
  <si>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</si>
  <si>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</si>
  <si>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</si>
  <si>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</si>
  <si>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</si>
  <si>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</si>
  <si>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</si>
  <si>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</si>
  <si>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</si>
  <si>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</si>
  <si>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</si>
  <si>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</si>
  <si>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</si>
  <si>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</si>
  <si>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</si>
  <si>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</si>
  <si>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</si>
  <si>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</si>
  <si>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</si>
  <si>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</si>
  <si>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</si>
  <si>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</si>
  <si>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</si>
  <si>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</si>
  <si>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</si>
  <si>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</si>
  <si>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</si>
  <si>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</si>
  <si>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</si>
  <si>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</si>
  <si>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</si>
  <si>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</si>
  <si>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</si>
  <si>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</si>
  <si>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</si>
  <si>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</si>
  <si>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</si>
  <si>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</si>
  <si>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</si>
  <si>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</si>
  <si>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</si>
  <si>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</si>
  <si>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</si>
  <si>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</si>
  <si>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</si>
  <si>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</si>
  <si>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</si>
  <si>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</si>
  <si>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</si>
  <si>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</si>
  <si>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</si>
  <si>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</si>
  <si>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</si>
  <si>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</si>
  <si>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</si>
  <si>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</si>
  <si>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</si>
  <si>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</si>
  <si>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</si>
  <si>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</si>
  <si>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</si>
  <si>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</si>
  <si>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</si>
  <si>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</si>
  <si>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</si>
  <si>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</si>
  <si>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</si>
  <si>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</si>
  <si>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</si>
  <si>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</si>
  <si>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</si>
  <si>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</si>
  <si>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</si>
  <si>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</si>
  <si>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</si>
  <si>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</si>
  <si>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</si>
  <si>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</si>
  <si>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</si>
  <si>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</si>
  <si>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</si>
  <si>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</si>
  <si>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</si>
  <si>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</si>
  <si>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</si>
  <si>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</si>
  <si>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</si>
  <si>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</si>
  <si>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</si>
  <si>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</si>
  <si>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</si>
  <si>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</si>
  <si>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</si>
  <si>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</si>
  <si>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</si>
  <si>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</si>
  <si>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</si>
  <si>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</si>
  <si>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</si>
  <si>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</si>
  <si>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</si>
  <si>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</si>
  <si>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</si>
  <si>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</si>
  <si>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</si>
  <si>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</si>
  <si>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</si>
  <si>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</si>
  <si>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</si>
  <si>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</si>
  <si>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</si>
  <si>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</si>
  <si>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</si>
  <si>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</si>
  <si>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</si>
  <si>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</si>
  <si>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</si>
  <si>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</si>
  <si>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</si>
  <si>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</si>
  <si>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</si>
  <si>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</si>
  <si>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</si>
  <si>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</si>
  <si>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</si>
  <si>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</si>
  <si>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</si>
  <si>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</si>
  <si>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</si>
  <si>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</si>
  <si>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</si>
  <si>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</si>
  <si>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</si>
  <si>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</si>
  <si>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</si>
  <si>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</si>
  <si>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</si>
  <si>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</si>
  <si>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</si>
  <si>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</si>
  <si>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</si>
  <si>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</si>
  <si>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</si>
  <si>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</si>
  <si>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</si>
  <si>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</si>
  <si>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</si>
  <si>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</si>
  <si>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</si>
  <si>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</si>
  <si>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</si>
  <si>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</si>
  <si>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</si>
  <si>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</si>
  <si>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</si>
  <si>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</si>
  <si>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</si>
  <si>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</si>
  <si>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</si>
  <si>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</si>
  <si>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</si>
  <si>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</si>
  <si>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</si>
  <si>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</si>
  <si>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</si>
  <si>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</si>
  <si>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</si>
  <si>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</si>
  <si>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</si>
  <si>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</si>
  <si>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</si>
  <si>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</si>
  <si>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</si>
  <si>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</si>
  <si>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</si>
  <si>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</si>
  <si>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</si>
  <si>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</si>
  <si>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</si>
  <si>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</si>
  <si>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</si>
  <si>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</si>
  <si>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</si>
  <si>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</si>
  <si>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</si>
  <si>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</si>
  <si>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</si>
  <si>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</si>
  <si>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</si>
  <si>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</si>
  <si>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</si>
  <si>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</si>
  <si>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</si>
  <si>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</si>
  <si>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</si>
  <si>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</si>
  <si>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</si>
  <si>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</si>
  <si>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</si>
  <si>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</si>
  <si>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</si>
  <si>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</si>
  <si>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</si>
  <si>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</si>
  <si>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</si>
  <si>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</si>
  <si>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</si>
  <si>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</si>
  <si>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</si>
  <si>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</si>
  <si>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</si>
  <si>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</si>
  <si>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</si>
  <si>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</si>
  <si>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</si>
  <si>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</si>
  <si>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</si>
  <si>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</si>
  <si>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</si>
  <si>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</si>
  <si>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</si>
  <si>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</si>
  <si>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</si>
  <si>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</si>
  <si>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</si>
  <si>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</si>
  <si>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</si>
  <si>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</si>
  <si>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</si>
  <si>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</si>
  <si>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</si>
  <si>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</si>
  <si>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</si>
  <si>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</si>
  <si>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</si>
  <si>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</si>
  <si>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</si>
  <si>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</si>
  <si>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</si>
  <si>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</si>
  <si>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</si>
  <si>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</si>
  <si>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</si>
  <si>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</si>
  <si>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</si>
  <si>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</si>
  <si>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</si>
  <si>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</si>
  <si>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</si>
  <si>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</si>
  <si>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</si>
  <si>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</si>
  <si>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</si>
  <si>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</si>
  <si>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</si>
  <si>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</si>
  <si>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</si>
  <si>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</si>
  <si>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</si>
  <si>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</si>
  <si>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</si>
  <si>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</si>
  <si>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</si>
  <si>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</si>
  <si>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</si>
  <si>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</si>
  <si>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</si>
  <si>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</si>
  <si>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</si>
  <si>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</si>
  <si>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</si>
  <si>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</si>
  <si>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</si>
  <si>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</si>
  <si>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</si>
  <si>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</si>
  <si>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</si>
  <si>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</si>
  <si>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</si>
  <si>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</si>
  <si>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</si>
  <si>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</si>
  <si>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</si>
  <si>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</si>
  <si>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</si>
  <si>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</si>
  <si>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</si>
  <si>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</si>
  <si>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</si>
  <si>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</si>
  <si>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</si>
  <si>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</si>
  <si>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</si>
  <si>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</si>
  <si>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</si>
  <si>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</si>
  <si>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</si>
  <si>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</si>
  <si>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</si>
  <si>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</si>
  <si>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</si>
  <si>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</si>
  <si>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</si>
  <si>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</si>
  <si>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</si>
  <si>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</si>
  <si>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</si>
  <si>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</si>
  <si>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</si>
  <si>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</si>
  <si>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</si>
  <si>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</si>
  <si>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</si>
  <si>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</si>
  <si>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</si>
  <si>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</si>
  <si>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</si>
  <si>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</si>
  <si>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</si>
  <si>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</si>
  <si>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</si>
  <si>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</si>
  <si>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</si>
  <si>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</si>
  <si>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</si>
  <si>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</si>
  <si>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</si>
  <si>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</si>
  <si>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</si>
  <si>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</si>
  <si>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</si>
  <si>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</si>
  <si>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</si>
  <si>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</si>
  <si>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</si>
  <si>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</si>
  <si>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</si>
  <si>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</si>
  <si>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</si>
  <si>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</si>
  <si>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</si>
  <si>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</si>
  <si>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</si>
  <si>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</si>
  <si>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</si>
  <si>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</si>
  <si>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</si>
  <si>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</si>
  <si>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</si>
  <si>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</si>
  <si>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</si>
  <si>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</si>
  <si>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</si>
  <si>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</si>
  <si>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</si>
  <si>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</si>
  <si>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</si>
  <si>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</si>
  <si>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</si>
  <si>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</si>
  <si>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</si>
  <si>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</si>
  <si>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</si>
  <si>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</si>
  <si>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</si>
  <si>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</si>
  <si>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</si>
  <si>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</si>
  <si>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</si>
  <si>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</si>
  <si>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</si>
  <si>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</si>
  <si>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</si>
  <si>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</si>
  <si>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</si>
  <si>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</si>
  <si>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</si>
  <si>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</si>
  <si>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</si>
  <si>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</si>
  <si>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</si>
  <si>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</si>
  <si>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</si>
  <si>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</si>
  <si>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</si>
  <si>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</si>
  <si>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</si>
  <si>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</si>
  <si>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</si>
  <si>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</si>
  <si>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</si>
  <si>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</si>
  <si>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</si>
  <si>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</si>
  <si>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</si>
  <si>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</si>
  <si>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</si>
  <si>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</si>
  <si>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</si>
  <si>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</si>
  <si>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</si>
  <si>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</si>
  <si>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</si>
  <si>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</si>
  <si>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</si>
  <si>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</si>
  <si>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</si>
  <si>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</si>
  <si>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</si>
  <si>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</si>
  <si>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</si>
  <si>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</si>
  <si>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</si>
  <si>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</si>
  <si>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</si>
  <si>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</si>
  <si>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</si>
  <si>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</si>
  <si>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</si>
  <si>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</si>
  <si>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</si>
  <si>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</si>
  <si>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</si>
  <si>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</si>
  <si>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</si>
  <si>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</si>
  <si>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</si>
  <si>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</si>
  <si>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</si>
  <si>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</si>
  <si>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</si>
  <si>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</si>
  <si>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</si>
  <si>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</si>
  <si>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</si>
  <si>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</si>
  <si>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</si>
  <si>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</si>
  <si>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</si>
  <si>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</si>
  <si>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</si>
  <si>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</si>
  <si>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</si>
  <si>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</si>
  <si>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</si>
  <si>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</si>
  <si>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</si>
  <si>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</si>
  <si>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</si>
  <si>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</si>
  <si>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</si>
  <si>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</si>
  <si>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</si>
  <si>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</si>
  <si>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</si>
  <si>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</si>
  <si>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</si>
  <si>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</si>
  <si>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</si>
  <si>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</si>
  <si>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</si>
  <si>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</si>
  <si>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</si>
  <si>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</si>
  <si>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</si>
  <si>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</si>
  <si>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</si>
  <si>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</si>
  <si>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</si>
  <si>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</si>
  <si>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</si>
  <si>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</si>
  <si>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</si>
  <si>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</si>
  <si>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</si>
  <si>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</si>
  <si>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</si>
  <si>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</si>
  <si>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</si>
  <si>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</si>
  <si>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</si>
  <si>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</si>
  <si>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</si>
  <si>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</si>
  <si>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</si>
  <si>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</si>
  <si>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</si>
  <si>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</si>
  <si>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</si>
  <si>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</si>
  <si>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</si>
  <si>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</si>
  <si>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</si>
  <si>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</si>
  <si>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</si>
  <si>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</si>
  <si>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</si>
  <si>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</si>
  <si>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</si>
  <si>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</si>
  <si>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</si>
  <si>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</si>
  <si>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</si>
  <si>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</si>
  <si>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</si>
  <si>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</si>
  <si>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</si>
  <si>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</si>
  <si>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</si>
  <si>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</si>
  <si>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</si>
  <si>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</si>
  <si>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</si>
  <si>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</si>
  <si>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</si>
  <si>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</si>
  <si>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</si>
  <si>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</si>
  <si>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</si>
  <si>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</si>
  <si>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</si>
  <si>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</si>
  <si>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</si>
  <si>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</si>
  <si>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</si>
  <si>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</si>
  <si>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</si>
  <si>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</si>
  <si>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</si>
  <si>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</si>
  <si>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</si>
  <si>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</si>
  <si>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</si>
  <si>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</si>
  <si>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</si>
  <si>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</si>
  <si>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</si>
  <si>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</si>
  <si>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</si>
  <si>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</si>
  <si>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</si>
  <si>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</si>
  <si>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</si>
  <si>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</si>
  <si>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</si>
  <si>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</si>
  <si>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</si>
  <si>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</si>
  <si>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</si>
  <si>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</si>
  <si>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</si>
  <si>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</si>
  <si>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</si>
  <si>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</si>
  <si>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</si>
  <si>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</si>
  <si>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</si>
  <si>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</si>
  <si>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</si>
  <si>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</si>
  <si>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</si>
  <si>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</si>
  <si>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</si>
  <si>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</si>
  <si>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</si>
  <si>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</si>
  <si>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</si>
  <si>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</si>
  <si>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</si>
  <si>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</si>
  <si>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</si>
  <si>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</si>
  <si>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</si>
  <si>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</si>
  <si>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</si>
  <si>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</si>
  <si>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</si>
  <si>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</si>
  <si>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</si>
  <si>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</si>
  <si>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</si>
  <si>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</si>
  <si>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</si>
  <si>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</si>
  <si>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</si>
  <si>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</si>
  <si>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</si>
  <si>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</si>
  <si>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</si>
  <si>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</si>
  <si>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</si>
  <si>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</si>
  <si>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</si>
  <si>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</si>
  <si>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</si>
  <si>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</si>
  <si>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</si>
  <si>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</si>
  <si>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</si>
  <si>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</si>
  <si>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</si>
  <si>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</si>
  <si>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</si>
  <si>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</si>
  <si>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</si>
  <si>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</si>
  <si>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</si>
  <si>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</si>
  <si>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</si>
  <si>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</si>
  <si>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</si>
  <si>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</si>
  <si>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</si>
  <si>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</si>
  <si>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</si>
  <si>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</si>
  <si>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</si>
  <si>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</si>
  <si>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</si>
  <si>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</si>
  <si>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</si>
  <si>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</si>
  <si>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</si>
  <si>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</si>
  <si>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</si>
  <si>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</si>
  <si>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</si>
  <si>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</si>
  <si>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</si>
  <si>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</si>
  <si>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</si>
  <si>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</si>
  <si>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</si>
  <si>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</si>
  <si>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</si>
  <si>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</si>
  <si>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</si>
  <si>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</si>
  <si>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</si>
  <si>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</si>
  <si>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</si>
  <si>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</si>
  <si>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</si>
  <si>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</si>
  <si>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</si>
  <si>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</si>
  <si>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</si>
  <si>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</si>
  <si>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</si>
  <si>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</si>
  <si>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</si>
  <si>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</si>
  <si>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</si>
  <si>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</si>
  <si>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</si>
  <si>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</si>
  <si>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</si>
  <si>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</si>
  <si>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</si>
  <si>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</si>
  <si>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</si>
  <si>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</si>
  <si>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</si>
  <si>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</si>
  <si>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</si>
  <si>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</si>
  <si>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</si>
  <si>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</si>
  <si>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</si>
  <si>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</si>
  <si>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</si>
  <si>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</si>
  <si>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</si>
  <si>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</si>
  <si>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</si>
  <si>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</si>
  <si>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</si>
  <si>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</si>
  <si>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</si>
  <si>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</si>
  <si>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</si>
  <si>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</si>
  <si>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</si>
  <si>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</si>
  <si>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</si>
  <si>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</si>
  <si>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</si>
  <si>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</si>
  <si>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</si>
  <si>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</si>
  <si>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</si>
  <si>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</si>
  <si>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</si>
  <si>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</si>
  <si>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</si>
  <si>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</si>
  <si>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</si>
  <si>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</si>
  <si>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</si>
  <si>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</si>
  <si>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</si>
  <si>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</si>
  <si>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</si>
  <si>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</si>
  <si>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</si>
  <si>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</si>
  <si>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</si>
  <si>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</si>
  <si>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</si>
  <si>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</si>
  <si>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</si>
  <si>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</si>
  <si>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</si>
  <si>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</si>
  <si>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</si>
  <si>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</si>
  <si>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</si>
  <si>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</si>
  <si>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</si>
  <si>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</si>
  <si>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</si>
  <si>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</si>
  <si>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</si>
  <si>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</si>
  <si>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</si>
  <si>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</si>
  <si>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</si>
  <si>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</si>
  <si>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</si>
  <si>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</si>
  <si>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</si>
  <si>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</si>
  <si>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</si>
  <si>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</si>
  <si>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</si>
  <si>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</si>
  <si>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</si>
  <si>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</si>
  <si>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</si>
  <si>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</si>
  <si>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</si>
  <si>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</si>
  <si>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</si>
  <si>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</si>
  <si>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</si>
  <si>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</si>
  <si>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</si>
  <si>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</si>
  <si>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</si>
  <si>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</si>
  <si>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</si>
  <si>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</si>
  <si>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</si>
  <si>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</si>
  <si>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</si>
  <si>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</si>
  <si>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</si>
  <si>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</si>
  <si>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</si>
  <si>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</si>
  <si>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</si>
  <si>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</si>
  <si>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</si>
  <si>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</si>
  <si>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</si>
  <si>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</si>
  <si>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</si>
  <si>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</si>
  <si>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</si>
  <si>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</si>
  <si>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</si>
  <si>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</si>
  <si>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</si>
  <si>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</si>
  <si>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</si>
  <si>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</si>
  <si>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</si>
  <si>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</si>
  <si>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</si>
  <si>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</si>
  <si>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</si>
  <si>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</si>
  <si>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</si>
  <si>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</si>
  <si>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</si>
  <si>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</si>
  <si>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</si>
  <si>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</si>
  <si>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</si>
  <si>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</si>
  <si>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</si>
  <si>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</si>
  <si>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</si>
  <si>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</si>
  <si>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</si>
  <si>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</si>
  <si>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</si>
  <si>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</si>
  <si>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</si>
  <si>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</si>
  <si>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</si>
  <si>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</si>
  <si>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</si>
  <si>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</si>
  <si>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</si>
  <si>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</si>
  <si>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</si>
  <si>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</si>
  <si>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</si>
  <si>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</si>
  <si>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</si>
  <si>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</si>
  <si>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</si>
  <si>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</si>
  <si>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</si>
  <si>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</si>
  <si>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</si>
  <si>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</si>
  <si>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</si>
  <si>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</si>
  <si>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</si>
  <si>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</si>
  <si>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</si>
  <si>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</si>
  <si>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</si>
  <si>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</si>
  <si>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</si>
  <si>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</si>
  <si>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</si>
  <si>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</si>
  <si>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</si>
  <si>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</si>
  <si>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</si>
  <si>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</si>
  <si>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</si>
  <si>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</si>
  <si>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</si>
  <si>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</si>
  <si>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</si>
  <si>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</si>
  <si>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</si>
  <si>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</si>
  <si>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</si>
  <si>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</si>
  <si>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</si>
  <si>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</si>
  <si>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</si>
  <si>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</si>
  <si>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</si>
  <si>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</si>
  <si>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</si>
  <si>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</si>
  <si>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</si>
  <si>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</si>
  <si>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</si>
  <si>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</si>
  <si>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</si>
  <si>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</si>
  <si>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</si>
  <si>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</si>
  <si>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</si>
  <si>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</si>
  <si>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</si>
  <si>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</si>
  <si>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</si>
  <si>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</si>
  <si>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</si>
  <si>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</si>
  <si>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</si>
  <si>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</si>
  <si>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</si>
  <si>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</si>
  <si>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</si>
  <si>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</si>
  <si>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</si>
  <si>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</si>
  <si>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</si>
  <si>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</si>
  <si>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</si>
  <si>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</si>
  <si>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</si>
  <si>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</si>
  <si>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</si>
  <si>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</si>
  <si>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</si>
  <si>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</si>
  <si>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</si>
  <si>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</si>
  <si>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</si>
  <si>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</si>
  <si>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</si>
  <si>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</si>
  <si>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</si>
  <si>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</si>
  <si>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</si>
  <si>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</si>
  <si>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</si>
  <si>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</si>
  <si>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</si>
  <si>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</si>
  <si>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</si>
  <si>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</si>
  <si>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</si>
  <si>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</si>
  <si>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</si>
  <si>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</si>
  <si>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</si>
  <si>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</si>
  <si>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</si>
  <si>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</si>
  <si>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</si>
  <si>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</si>
  <si>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</si>
  <si>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</si>
  <si>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</si>
  <si>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</si>
  <si>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</si>
  <si>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</si>
  <si>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</si>
  <si>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</si>
  <si>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</si>
  <si>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</si>
  <si>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</si>
  <si>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</si>
  <si>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</si>
  <si>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</si>
  <si>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</si>
  <si>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</si>
  <si>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</si>
  <si>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</si>
  <si>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</si>
  <si>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</si>
  <si>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</si>
  <si>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</si>
  <si>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</si>
  <si>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</si>
  <si>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</si>
  <si>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</si>
  <si>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</si>
  <si>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</si>
  <si>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</si>
  <si>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</si>
  <si>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</si>
  <si>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</si>
  <si>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</si>
  <si>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</si>
  <si>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</si>
  <si>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</si>
  <si>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</si>
  <si>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</si>
  <si>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</si>
  <si>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</si>
  <si>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</si>
  <si>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</si>
  <si>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</si>
  <si>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</si>
  <si>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</si>
  <si>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</si>
  <si>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</si>
  <si>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</si>
  <si>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</si>
  <si>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</si>
  <si>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</si>
  <si>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</si>
  <si>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</si>
  <si>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</si>
  <si>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</si>
  <si>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</si>
  <si>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</si>
  <si>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</si>
  <si>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</si>
  <si>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</si>
  <si>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</si>
  <si>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</si>
  <si>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</si>
  <si>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</si>
  <si>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</si>
  <si>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</si>
  <si>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</si>
  <si>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</si>
  <si>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</si>
  <si>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</si>
  <si>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</si>
  <si>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</si>
  <si>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</si>
  <si>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</si>
  <si>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</si>
  <si>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</si>
  <si>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</si>
  <si>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</si>
  <si>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</si>
  <si>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</si>
  <si>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</si>
  <si>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</si>
  <si>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</si>
  <si>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</si>
  <si>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</si>
  <si>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</si>
  <si>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</si>
  <si>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</si>
  <si>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</si>
  <si>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</si>
  <si>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</si>
  <si>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</si>
  <si>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</si>
  <si>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</si>
  <si>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</si>
  <si>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</si>
  <si>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</si>
  <si>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</si>
  <si>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</si>
  <si>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</si>
  <si>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</si>
  <si>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</si>
  <si>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</si>
  <si>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</si>
  <si>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</si>
  <si>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</si>
  <si>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</si>
  <si>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</si>
  <si>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</si>
  <si>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</si>
  <si>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</si>
  <si>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</si>
  <si>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</si>
  <si>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</si>
  <si>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</si>
  <si>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</si>
  <si>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</si>
  <si>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</si>
  <si>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</si>
  <si>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</si>
  <si>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</si>
  <si>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</si>
  <si>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</si>
  <si>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</si>
  <si>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</si>
  <si>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</si>
  <si>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</si>
  <si>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</si>
  <si>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</si>
  <si>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</si>
  <si>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</si>
  <si>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</si>
  <si>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</si>
  <si>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</si>
  <si>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</si>
  <si>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</si>
  <si>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</si>
  <si>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</si>
  <si>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</si>
  <si>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</si>
  <si>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</si>
  <si>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</si>
  <si>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</si>
  <si>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</si>
  <si>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</si>
  <si>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</si>
  <si>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</si>
  <si>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</si>
  <si>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</si>
  <si>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</si>
  <si>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</si>
  <si>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</si>
  <si>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</si>
  <si>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</si>
  <si>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</si>
  <si>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</si>
  <si>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</si>
  <si>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</si>
  <si>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</si>
  <si>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</si>
  <si>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</si>
  <si>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</si>
  <si>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</si>
  <si>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</si>
  <si>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</si>
  <si>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</si>
  <si>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</si>
  <si>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</si>
  <si>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</si>
  <si>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</si>
  <si>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</si>
  <si>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</si>
  <si>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</si>
  <si>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</si>
  <si>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</si>
  <si>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</si>
  <si>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</si>
  <si>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</si>
  <si>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</si>
  <si>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</si>
  <si>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</si>
  <si>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</si>
  <si>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</si>
  <si>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</si>
  <si>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</si>
  <si>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</si>
  <si>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</si>
  <si>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</si>
  <si>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</si>
  <si>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</si>
  <si>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</si>
  <si>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</si>
  <si>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</si>
  <si>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</si>
  <si>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</si>
  <si>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</si>
  <si>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</si>
  <si>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</si>
  <si>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</si>
  <si>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</si>
  <si>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</si>
  <si>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</si>
  <si>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</si>
  <si>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</si>
  <si>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</si>
  <si>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</si>
  <si>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</si>
  <si>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</si>
  <si>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</si>
  <si>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</si>
  <si>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</si>
  <si>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</si>
  <si>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</si>
  <si>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</si>
  <si>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</si>
  <si>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</si>
  <si>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</si>
  <si>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</si>
  <si>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</si>
  <si>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</si>
  <si>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</si>
  <si>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</si>
  <si>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</si>
  <si>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</si>
  <si>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</si>
  <si>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</si>
  <si>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</si>
  <si>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</si>
  <si>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</si>
  <si>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</si>
  <si>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</si>
  <si>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</si>
  <si>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</si>
  <si>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</si>
  <si>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</si>
  <si>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</si>
  <si>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</si>
  <si>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</si>
  <si>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</si>
  <si>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</si>
  <si>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</si>
  <si>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</si>
  <si>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</si>
  <si>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</si>
  <si>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</si>
  <si>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</si>
  <si>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</si>
  <si>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</si>
  <si>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</si>
  <si>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</si>
  <si>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</si>
  <si>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</si>
  <si>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</si>
  <si>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</si>
  <si>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</si>
  <si>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</si>
  <si>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</si>
  <si>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</si>
  <si>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</si>
  <si>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</si>
  <si>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</si>
  <si>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</si>
  <si>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</si>
  <si>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</si>
  <si>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</si>
  <si>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</si>
  <si>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</si>
  <si>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</si>
  <si>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</si>
  <si>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</si>
  <si>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</si>
  <si>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</si>
  <si>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</si>
  <si>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</si>
  <si>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</si>
  <si>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</si>
  <si>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</si>
  <si>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</si>
  <si>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</si>
  <si>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</si>
  <si>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</si>
  <si>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</si>
  <si>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</si>
  <si>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</si>
  <si>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</si>
  <si>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</si>
  <si>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</si>
  <si>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</si>
  <si>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</si>
  <si>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</si>
  <si>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</si>
  <si>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</si>
  <si>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</si>
  <si>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</si>
  <si>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</si>
  <si>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</si>
  <si>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</si>
  <si>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</si>
  <si>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</si>
  <si>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</si>
  <si>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</si>
  <si>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</si>
  <si>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</si>
  <si>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</si>
  <si>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</si>
  <si>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</si>
  <si>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</si>
  <si>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</si>
  <si>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</si>
  <si>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</si>
  <si>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</si>
  <si>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</si>
  <si>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</si>
  <si>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</si>
  <si>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</si>
  <si>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</si>
  <si>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</si>
  <si>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</si>
  <si>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</si>
  <si>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</si>
  <si>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</si>
  <si>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</si>
  <si>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</si>
  <si>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</si>
  <si>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</si>
  <si>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</si>
  <si>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</si>
  <si>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</si>
  <si>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</si>
  <si>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</si>
  <si>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</si>
  <si>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</si>
  <si>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</si>
  <si>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</si>
  <si>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</si>
  <si>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</si>
  <si>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</si>
  <si>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</si>
  <si>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</si>
  <si>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</si>
  <si>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</si>
  <si>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</si>
  <si>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</si>
  <si>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</si>
  <si>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</si>
  <si>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</si>
  <si>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</si>
  <si>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</si>
  <si>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</si>
  <si>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</si>
  <si>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</si>
  <si>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</si>
  <si>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</si>
  <si>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</si>
  <si>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</si>
  <si>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</si>
  <si>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</si>
  <si>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</si>
  <si>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</si>
  <si>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</si>
  <si>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</si>
  <si>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</si>
  <si>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</si>
  <si>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</si>
  <si>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</si>
  <si>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</si>
  <si>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</si>
  <si>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</si>
  <si>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</si>
  <si>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</si>
  <si>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</si>
  <si>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</si>
  <si>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</si>
  <si>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</si>
  <si>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</si>
  <si>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</si>
  <si>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</si>
  <si>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</si>
  <si>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</si>
  <si>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</si>
  <si>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</si>
  <si>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</si>
  <si>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</si>
  <si>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</si>
  <si>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</si>
  <si>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</si>
  <si>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</si>
  <si>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</si>
  <si>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</si>
  <si>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</si>
  <si>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</si>
  <si>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</si>
  <si>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</si>
  <si>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</si>
  <si>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</si>
  <si>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</si>
  <si>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</si>
  <si>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</si>
  <si>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</si>
  <si>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</si>
  <si>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</si>
  <si>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</si>
  <si>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</si>
  <si>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</si>
  <si>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</si>
  <si>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</si>
  <si>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</si>
  <si>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</si>
  <si>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</si>
  <si>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</si>
  <si>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</si>
  <si>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</si>
  <si>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</si>
  <si>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</si>
  <si>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</si>
  <si>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</si>
  <si>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</si>
  <si>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</si>
  <si>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</si>
  <si>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</si>
  <si>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</si>
  <si>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</si>
  <si>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</si>
  <si>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</si>
  <si>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</si>
  <si>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</si>
  <si>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</si>
  <si>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</si>
  <si>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</si>
  <si>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</si>
  <si>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</si>
  <si>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</si>
  <si>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</si>
  <si>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</si>
  <si>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</si>
  <si>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</si>
  <si>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</si>
  <si>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</si>
  <si>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</si>
  <si>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</si>
  <si>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</si>
  <si>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</si>
  <si>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</si>
  <si>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</si>
  <si>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</si>
  <si>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</si>
  <si>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</si>
  <si>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</si>
  <si>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</si>
  <si>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</si>
  <si>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</si>
  <si>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</si>
  <si>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</si>
  <si>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</si>
  <si>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</si>
  <si>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</si>
  <si>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</si>
  <si>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</si>
  <si>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</si>
  <si>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</si>
  <si>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</si>
  <si>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</si>
  <si>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</si>
  <si>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</si>
  <si>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</si>
  <si>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</si>
  <si>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</si>
  <si>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</si>
  <si>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</si>
  <si>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</si>
  <si>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</si>
  <si>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</si>
  <si>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</si>
  <si>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</si>
  <si>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</si>
  <si>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</si>
  <si>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</si>
  <si>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</si>
  <si>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</si>
  <si>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</si>
  <si>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</si>
  <si>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</si>
  <si>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</si>
  <si>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</si>
  <si>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</si>
  <si>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</si>
  <si>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</si>
  <si>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</si>
  <si>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</si>
  <si>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</si>
  <si>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</si>
  <si>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</si>
  <si>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</si>
  <si>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</si>
  <si>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</si>
  <si>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</si>
  <si>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</si>
  <si>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</si>
  <si>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</si>
  <si>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</si>
  <si>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</si>
  <si>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</si>
  <si>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</si>
  <si>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</si>
  <si>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</si>
  <si>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</si>
  <si>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</si>
  <si>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</si>
  <si>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</si>
  <si>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</si>
  <si>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</si>
  <si>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</si>
  <si>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</si>
  <si>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</si>
  <si>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</si>
  <si>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</si>
  <si>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</si>
  <si>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</si>
  <si>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</si>
  <si>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</si>
  <si>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</si>
  <si>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</si>
  <si>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</si>
  <si>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</si>
  <si>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</si>
  <si>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</si>
  <si>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</si>
  <si>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</si>
  <si>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</si>
  <si>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</si>
  <si>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</si>
  <si>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</si>
  <si>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</si>
  <si>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</si>
  <si>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</si>
  <si>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</si>
  <si>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</si>
  <si>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</si>
  <si>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</si>
  <si>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</si>
  <si>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</si>
  <si>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</si>
  <si>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</si>
  <si>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</si>
  <si>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</si>
  <si>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</si>
  <si>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</si>
  <si>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</si>
  <si>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</si>
  <si>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</si>
  <si>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</si>
  <si>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</si>
  <si>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</si>
  <si>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</si>
  <si>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</si>
  <si>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</si>
  <si>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</si>
  <si>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</si>
  <si>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</si>
  <si>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</si>
  <si>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</si>
  <si>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</si>
  <si>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</si>
  <si>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</si>
  <si>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</si>
  <si>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</si>
  <si>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</si>
  <si>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</si>
  <si>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</si>
  <si>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</si>
  <si>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</si>
  <si>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</si>
  <si>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</si>
  <si>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</si>
  <si>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</si>
  <si>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</si>
  <si>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</si>
  <si>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</si>
  <si>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</si>
  <si>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</si>
  <si>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</si>
  <si>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</si>
  <si>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</si>
  <si>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</si>
  <si>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</si>
  <si>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</si>
  <si>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</si>
  <si>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</si>
  <si>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</si>
  <si>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</si>
  <si>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</si>
  <si>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</si>
  <si>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</si>
  <si>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</si>
  <si>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</si>
  <si>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</si>
  <si>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</si>
  <si>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</si>
  <si>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</si>
  <si>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</si>
  <si>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</si>
  <si>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</si>
  <si>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</si>
  <si>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</si>
  <si>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</si>
  <si>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</si>
  <si>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</si>
  <si>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</si>
  <si>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</si>
  <si>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</si>
  <si>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</si>
  <si>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</si>
  <si>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</si>
  <si>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</si>
  <si>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</si>
  <si>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</si>
  <si>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</si>
  <si>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</si>
  <si>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</si>
  <si>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</si>
  <si>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</si>
  <si>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</si>
  <si>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</si>
  <si>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</si>
  <si>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</si>
  <si>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</si>
  <si>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</si>
  <si>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</si>
  <si>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</si>
  <si>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</si>
  <si>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</si>
  <si>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</si>
  <si>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</si>
  <si>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</si>
  <si>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</si>
  <si>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</si>
  <si>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</si>
  <si>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</si>
  <si>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</si>
  <si>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</si>
  <si>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</si>
  <si>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</si>
  <si>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</si>
  <si>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</si>
  <si>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</si>
  <si>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</si>
  <si>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</si>
  <si>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</si>
  <si>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</si>
  <si>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</si>
  <si>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</si>
  <si>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</si>
  <si>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</si>
  <si>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</si>
  <si>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</si>
  <si>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</si>
  <si>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</si>
  <si>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</si>
  <si>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</si>
  <si>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</si>
  <si>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</si>
  <si>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</si>
  <si>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</si>
  <si>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</si>
  <si>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</si>
  <si>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</si>
  <si>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</si>
  <si>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</si>
  <si>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</si>
  <si>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</si>
  <si>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</si>
  <si>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</si>
  <si>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</si>
  <si>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</si>
  <si>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</si>
  <si>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</si>
  <si>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</si>
  <si>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</si>
  <si>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</si>
  <si>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</si>
  <si>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</si>
  <si>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</si>
  <si>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</si>
  <si>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</si>
  <si>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</si>
  <si>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</si>
  <si>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</si>
  <si>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</si>
  <si>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</si>
  <si>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</si>
  <si>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</si>
  <si>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</si>
  <si>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</si>
  <si>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</si>
  <si>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</si>
  <si>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</si>
  <si>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</si>
  <si>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</si>
  <si>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</si>
  <si>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</si>
  <si>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</si>
  <si>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</si>
  <si>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</si>
  <si>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</si>
  <si>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</si>
  <si>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</si>
  <si>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</si>
  <si>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</si>
  <si>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</si>
  <si>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</si>
  <si>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</si>
  <si>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</si>
  <si>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</si>
  <si>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</si>
  <si>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</si>
  <si>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</si>
  <si>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</si>
  <si>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</si>
  <si>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</si>
  <si>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</si>
  <si>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</si>
  <si>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</si>
  <si>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</si>
  <si>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</si>
  <si>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</si>
  <si>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</si>
  <si>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</si>
  <si>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</si>
  <si>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</si>
  <si>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</si>
  <si>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</si>
  <si>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</si>
  <si>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</si>
  <si>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</si>
  <si>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</si>
  <si>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</si>
  <si>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</si>
  <si>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</si>
  <si>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</si>
  <si>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</si>
  <si>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</si>
  <si>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</si>
  <si>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</si>
  <si>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</si>
  <si>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</si>
  <si>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</si>
  <si>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</si>
  <si>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</si>
  <si>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</si>
  <si>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</si>
  <si>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</si>
  <si>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</si>
  <si>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</si>
  <si>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</si>
  <si>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</si>
  <si>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</si>
  <si>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</si>
  <si>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</si>
  <si>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</si>
  <si>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</si>
  <si>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</si>
  <si>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</si>
  <si>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</si>
  <si>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</si>
  <si>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</si>
  <si>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</si>
  <si>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</si>
  <si>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</si>
  <si>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</si>
  <si>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</si>
  <si>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</si>
  <si>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</si>
  <si>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</si>
  <si>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</si>
  <si>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</si>
  <si>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</si>
  <si>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</si>
  <si>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</si>
  <si>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</si>
  <si>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</si>
  <si>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</si>
  <si>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</si>
  <si>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</si>
  <si>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</si>
  <si>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</si>
  <si>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</si>
  <si>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</si>
  <si>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</si>
  <si>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</si>
  <si>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</si>
  <si>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</si>
  <si>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</si>
  <si>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</si>
  <si>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</si>
  <si>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</si>
  <si>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</si>
  <si>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</si>
  <si>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</si>
  <si>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</si>
  <si>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</si>
  <si>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</si>
  <si>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</si>
  <si>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</si>
  <si>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</si>
  <si>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</si>
  <si>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</si>
  <si>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</si>
  <si>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</si>
  <si>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</si>
  <si>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</si>
  <si>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</si>
  <si>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</si>
  <si>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</si>
  <si>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</si>
  <si>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</si>
  <si>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</si>
  <si>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</si>
  <si>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</si>
  <si>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</si>
  <si>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</si>
  <si>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</si>
  <si>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</si>
  <si>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</si>
  <si>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</si>
  <si>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</si>
  <si>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</si>
  <si>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</si>
  <si>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</si>
  <si>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</si>
  <si>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</si>
  <si>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</si>
  <si>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</si>
  <si>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</si>
  <si>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</si>
  <si>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</si>
  <si>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</si>
  <si>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</si>
  <si>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</si>
  <si>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</si>
  <si>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</si>
  <si>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</si>
  <si>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</si>
  <si>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</si>
  <si>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</si>
  <si>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</si>
  <si>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</si>
  <si>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</si>
  <si>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</si>
  <si>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</si>
  <si>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</si>
  <si>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</si>
  <si>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</si>
  <si>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</si>
  <si>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</si>
  <si>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</si>
  <si>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</si>
  <si>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</si>
  <si>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</si>
  <si>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</si>
  <si>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</si>
  <si>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</si>
  <si>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</si>
  <si>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</si>
  <si>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</si>
  <si>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</si>
  <si>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</si>
  <si>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</si>
  <si>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</si>
  <si>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</si>
  <si>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</si>
  <si>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</si>
  <si>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</si>
  <si>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</si>
  <si>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</si>
  <si>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</si>
  <si>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</si>
  <si>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</si>
  <si>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</si>
  <si>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</si>
  <si>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</si>
  <si>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</si>
  <si>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</si>
  <si>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</si>
  <si>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</si>
  <si>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</si>
  <si>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</si>
  <si>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</si>
  <si>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</si>
  <si>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</si>
  <si>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</si>
  <si>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</si>
  <si>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</si>
  <si>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</si>
  <si>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</si>
  <si>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</si>
  <si>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</si>
  <si>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</si>
  <si>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</si>
  <si>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</si>
  <si>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</si>
  <si>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</si>
  <si>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</si>
  <si>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</si>
  <si>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</si>
  <si>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</si>
  <si>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</si>
  <si>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</si>
  <si>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</si>
  <si>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</si>
  <si>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</si>
  <si>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</si>
  <si>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</si>
  <si>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</si>
  <si>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</si>
  <si>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</si>
  <si>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</si>
  <si>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</si>
  <si>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</si>
  <si>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</si>
  <si>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</si>
  <si>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</si>
  <si>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</si>
  <si>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</si>
  <si>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</si>
  <si>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</si>
  <si>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</si>
  <si>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</si>
  <si>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</si>
  <si>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</si>
  <si>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</si>
  <si>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</si>
  <si>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</si>
  <si>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</si>
  <si>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</si>
  <si>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</si>
  <si>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</si>
  <si>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</si>
  <si>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</si>
  <si>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</si>
  <si>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</si>
  <si>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</si>
  <si>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</si>
  <si>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</si>
  <si>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</si>
  <si>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</si>
  <si>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</si>
  <si>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</si>
  <si>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</si>
  <si>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</si>
  <si>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</si>
  <si>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</si>
  <si>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</si>
  <si>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</si>
  <si>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</si>
  <si>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</si>
  <si>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</si>
  <si>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</si>
  <si>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</si>
  <si>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</si>
  <si>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</si>
  <si>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</si>
  <si>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</si>
  <si>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</si>
  <si>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</si>
  <si>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</si>
  <si>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</si>
  <si>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</si>
  <si>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</si>
  <si>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</si>
  <si>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</si>
  <si>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</si>
  <si>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</si>
  <si>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</si>
  <si>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</si>
  <si>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</si>
  <si>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</si>
  <si>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</si>
  <si>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</si>
  <si>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</si>
  <si>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</si>
  <si>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</si>
  <si>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</si>
  <si>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</si>
  <si>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</si>
  <si>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</si>
  <si>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</si>
  <si>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</si>
  <si>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</si>
  <si>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</si>
  <si>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</si>
  <si>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</si>
  <si>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</si>
  <si>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</si>
  <si>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</si>
  <si>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</si>
  <si>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</si>
  <si>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</si>
  <si>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</si>
  <si>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</si>
  <si>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</si>
  <si>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</si>
  <si>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</si>
  <si>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</si>
  <si>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</si>
  <si>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</si>
  <si>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</si>
  <si>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</si>
  <si>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</si>
  <si>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</si>
  <si>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</si>
  <si>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</si>
  <si>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</si>
  <si>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</si>
  <si>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</si>
  <si>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</si>
  <si>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</si>
  <si>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</si>
  <si>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</si>
  <si>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</si>
  <si>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</si>
  <si>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</si>
  <si>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</si>
  <si>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</si>
  <si>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</si>
  <si>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</si>
  <si>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</si>
  <si>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</si>
  <si>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</si>
  <si>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</si>
  <si>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</si>
  <si>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</si>
  <si>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</si>
  <si>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</si>
  <si>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</si>
  <si>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</si>
  <si>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</si>
  <si>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</si>
  <si>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</si>
  <si>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</si>
  <si>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</si>
  <si>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</si>
  <si>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</si>
  <si>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</si>
  <si>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</si>
  <si>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</si>
  <si>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</si>
  <si>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</si>
  <si>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</si>
  <si>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</si>
  <si>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</si>
  <si>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</si>
  <si>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</si>
  <si>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</si>
  <si>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</si>
  <si>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</si>
  <si>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</si>
  <si>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</si>
  <si>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</si>
  <si>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</si>
  <si>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</si>
  <si>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</si>
  <si>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</si>
  <si>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</si>
  <si>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</si>
  <si>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</si>
  <si>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</si>
  <si>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</si>
  <si>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</si>
  <si>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</si>
  <si>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</si>
  <si>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</si>
  <si>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</si>
  <si>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</si>
  <si>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</si>
  <si>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</si>
  <si>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</si>
  <si>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</si>
  <si>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</si>
  <si>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</si>
  <si>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</si>
  <si>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</si>
  <si>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</si>
  <si>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</si>
  <si>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</si>
  <si>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</si>
  <si>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</si>
  <si>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</si>
  <si>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</si>
  <si>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</si>
  <si>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</si>
  <si>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</si>
  <si>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</si>
  <si>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</si>
  <si>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</si>
  <si>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</si>
  <si>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</si>
  <si>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</si>
  <si>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</si>
  <si>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</si>
  <si>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</si>
  <si>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</si>
  <si>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</si>
  <si>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</si>
  <si>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</si>
  <si>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</si>
  <si>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</si>
  <si>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</si>
  <si>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</si>
  <si>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</si>
  <si>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</si>
  <si>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</si>
  <si>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</si>
  <si>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</si>
  <si>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</si>
  <si>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</si>
  <si>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</si>
  <si>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</si>
  <si>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</si>
  <si>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</si>
  <si>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</si>
  <si>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</si>
  <si>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</si>
  <si>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</si>
  <si>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</si>
  <si>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</si>
  <si>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</si>
  <si>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</si>
  <si>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</si>
  <si>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</si>
  <si>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</si>
  <si>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</si>
  <si>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</si>
  <si>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</si>
  <si>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</si>
  <si>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</si>
  <si>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</si>
  <si>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</si>
  <si>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</si>
  <si>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</si>
  <si>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</si>
  <si>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</si>
  <si>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</si>
  <si>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</si>
  <si>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</si>
  <si>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</si>
  <si>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</si>
  <si>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</si>
  <si>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</si>
  <si>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</si>
  <si>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</si>
  <si>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</si>
  <si>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</si>
  <si>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</si>
  <si>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</si>
  <si>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</si>
  <si>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</si>
  <si>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</si>
  <si>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</si>
  <si>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</si>
  <si>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</si>
  <si>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</si>
  <si>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</si>
  <si>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</si>
  <si>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</si>
  <si>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</si>
  <si>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</si>
  <si>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</si>
  <si>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</si>
  <si>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</si>
  <si>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</si>
  <si>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</si>
  <si>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</si>
  <si>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</si>
  <si>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</si>
  <si>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</si>
  <si>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</si>
  <si>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</si>
  <si>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</si>
  <si>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</si>
  <si>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</si>
  <si>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</si>
  <si>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</si>
  <si>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</si>
  <si>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</si>
  <si>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</si>
  <si>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</si>
  <si>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</si>
  <si>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</si>
  <si>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</si>
  <si>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</si>
  <si>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</si>
  <si>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</si>
  <si>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</si>
  <si>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</si>
  <si>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</si>
  <si>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</si>
  <si>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</si>
  <si>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</si>
  <si>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</si>
  <si>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</si>
  <si>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</si>
  <si>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</si>
  <si>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</si>
  <si>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</si>
  <si>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</si>
  <si>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</si>
  <si>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</si>
  <si>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</si>
  <si>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</si>
  <si>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</si>
  <si>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</si>
  <si>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</si>
  <si>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</si>
  <si>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</si>
  <si>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</si>
  <si>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</si>
  <si>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</si>
  <si>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</si>
  <si>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</si>
  <si>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</si>
  <si>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</si>
  <si>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</si>
  <si>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</si>
  <si>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</si>
  <si>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</si>
  <si>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</si>
  <si>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</si>
  <si>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</si>
  <si>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</si>
  <si>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</si>
  <si>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</si>
  <si>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</si>
  <si>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</si>
  <si>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</si>
  <si>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</si>
  <si>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</si>
  <si>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</si>
  <si>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</si>
  <si>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</si>
  <si>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</si>
  <si>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</si>
  <si>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</si>
  <si>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</si>
  <si>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</si>
  <si>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</si>
  <si>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</si>
  <si>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</si>
  <si>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</si>
  <si>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</si>
  <si>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</si>
  <si>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</si>
  <si>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</si>
  <si>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</si>
  <si>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</si>
  <si>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</si>
  <si>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</si>
  <si>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</si>
  <si>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</si>
  <si>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</si>
  <si>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</si>
  <si>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</si>
  <si>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</si>
  <si>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</si>
  <si>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</si>
  <si>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</si>
  <si>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</si>
  <si>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</si>
  <si>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</si>
  <si>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</si>
  <si>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</si>
  <si>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</si>
  <si>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</si>
  <si>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</si>
  <si>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</si>
  <si>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</si>
  <si>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</si>
  <si>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</si>
  <si>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</si>
  <si>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</si>
  <si>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</si>
  <si>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</si>
  <si>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</si>
  <si>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</si>
  <si>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</si>
  <si>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</si>
  <si>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</si>
  <si>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</si>
  <si>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</si>
  <si>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</si>
  <si>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</si>
  <si>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</si>
  <si>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</si>
  <si>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</si>
  <si>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</si>
  <si>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</si>
  <si>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</si>
  <si>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</si>
  <si>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</si>
  <si>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</si>
  <si>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</si>
  <si>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</si>
  <si>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</si>
  <si>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</si>
  <si>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</si>
  <si>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</si>
  <si>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</si>
  <si>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</si>
  <si>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</si>
  <si>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</si>
  <si>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</si>
  <si>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</si>
  <si>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</si>
  <si>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</si>
  <si>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</si>
  <si>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</si>
  <si>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</si>
  <si>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</si>
  <si>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</si>
  <si>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</si>
  <si>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</si>
  <si>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</si>
  <si>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</si>
  <si>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</si>
  <si>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</si>
  <si>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</si>
  <si>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</si>
  <si>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</si>
  <si>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</si>
  <si>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</si>
  <si>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</si>
  <si>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</si>
  <si>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</si>
  <si>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</si>
  <si>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</si>
  <si>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</si>
  <si>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</si>
  <si>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</si>
  <si>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</si>
  <si>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</si>
  <si>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</si>
  <si>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</si>
  <si>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</si>
  <si>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</si>
  <si>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</si>
  <si>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</si>
  <si>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</si>
  <si>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</si>
  <si>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</si>
  <si>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</si>
  <si>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</si>
  <si>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</si>
  <si>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</si>
  <si>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</si>
  <si>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</si>
  <si>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</si>
  <si>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</si>
  <si>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</si>
  <si>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</si>
  <si>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</si>
  <si>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</si>
  <si>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</si>
  <si>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</si>
  <si>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</si>
  <si>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</si>
  <si>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</si>
  <si>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</si>
  <si>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</si>
  <si>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</si>
  <si>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</si>
  <si>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</si>
  <si>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</si>
  <si>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</si>
  <si>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</si>
  <si>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</si>
  <si>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</si>
  <si>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</si>
  <si>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</si>
  <si>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</si>
  <si>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</si>
  <si>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</si>
  <si>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</si>
  <si>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</si>
  <si>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</si>
  <si>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</si>
  <si>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</si>
  <si>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</si>
  <si>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</si>
  <si>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</si>
  <si>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</si>
  <si>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</si>
  <si>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</si>
  <si>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</si>
  <si>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</si>
  <si>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</si>
  <si>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</si>
  <si>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</si>
  <si>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</si>
  <si>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</si>
  <si>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</si>
  <si>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</si>
  <si>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</si>
  <si>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</si>
  <si>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</si>
  <si>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</si>
  <si>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</si>
  <si>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</si>
  <si>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</si>
  <si>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</si>
  <si>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</si>
  <si>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</si>
  <si>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</si>
  <si>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</si>
  <si>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</si>
  <si>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</si>
  <si>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</si>
  <si>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</si>
  <si>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</si>
  <si>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</si>
  <si>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</si>
  <si>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</si>
  <si>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</si>
  <si>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</si>
  <si>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</si>
  <si>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</si>
  <si>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</si>
  <si>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</si>
  <si>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</si>
  <si>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</si>
  <si>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</si>
  <si>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</si>
  <si>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</si>
  <si>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</si>
  <si>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</si>
  <si>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</si>
  <si>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</si>
  <si>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</si>
  <si>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</si>
  <si>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</si>
  <si>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</si>
  <si>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</si>
  <si>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</si>
  <si>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</si>
  <si>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</si>
  <si>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</si>
  <si>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</si>
  <si>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</si>
  <si>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</si>
  <si>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</si>
  <si>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</si>
  <si>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</si>
  <si>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</si>
  <si>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</si>
  <si>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</si>
  <si>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</si>
  <si>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</si>
  <si>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</si>
  <si>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</si>
  <si>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</si>
  <si>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</si>
  <si>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</si>
  <si>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</si>
  <si>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</si>
  <si>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</si>
  <si>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</si>
  <si>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</si>
  <si>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</si>
  <si>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</si>
  <si>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</si>
  <si>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</si>
  <si>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</si>
  <si>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</si>
  <si>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</si>
  <si>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</si>
  <si>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</si>
  <si>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</si>
  <si>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</si>
  <si>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</si>
  <si>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</si>
  <si>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</si>
  <si>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</si>
  <si>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</si>
  <si>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</si>
  <si>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</si>
  <si>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</si>
  <si>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</si>
  <si>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</si>
  <si>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</si>
  <si>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</si>
  <si>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</si>
  <si>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</si>
  <si>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</si>
  <si>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</si>
  <si>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</si>
  <si>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</si>
  <si>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</si>
  <si>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</si>
  <si>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</si>
  <si>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</si>
  <si>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</si>
  <si>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</si>
  <si>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</si>
  <si>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</si>
  <si>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</si>
  <si>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</si>
  <si>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</si>
  <si>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</si>
  <si>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</si>
  <si>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</si>
  <si>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</si>
  <si>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</si>
  <si>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</si>
  <si>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</si>
  <si>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</si>
  <si>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</si>
  <si>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</si>
  <si>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</si>
  <si>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</si>
  <si>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</si>
  <si>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</si>
  <si>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</si>
  <si>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</si>
  <si>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</si>
  <si>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</si>
  <si>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</si>
  <si>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</si>
  <si>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</si>
  <si>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</si>
  <si>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</si>
  <si>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</si>
  <si>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</si>
  <si>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</si>
  <si>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</si>
  <si>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</si>
  <si>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</si>
  <si>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</si>
  <si>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</si>
  <si>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</si>
  <si>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</si>
  <si>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</si>
  <si>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</si>
  <si>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</si>
  <si>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</si>
  <si>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</si>
  <si>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</si>
  <si>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</si>
  <si>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</si>
  <si>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</si>
  <si>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</si>
  <si>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</si>
  <si>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</si>
  <si>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</si>
  <si>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</si>
  <si>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</si>
  <si>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</si>
  <si>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</si>
  <si>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</si>
  <si>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</si>
  <si>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</si>
  <si>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</si>
  <si>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</si>
  <si>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</si>
  <si>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</si>
  <si>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</si>
  <si>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</si>
  <si>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</si>
  <si>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</si>
  <si>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</si>
  <si>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</si>
  <si>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</si>
  <si>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</si>
  <si>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</si>
  <si>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</si>
  <si>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</si>
  <si>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</si>
  <si>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</si>
  <si>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</si>
  <si>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</si>
  <si>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</si>
  <si>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</si>
  <si>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</si>
  <si>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</si>
  <si>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</si>
  <si>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</si>
  <si>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</si>
  <si>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</si>
  <si>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</si>
  <si>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</si>
  <si>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</si>
  <si>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</si>
  <si>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</si>
  <si>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</si>
  <si>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</si>
  <si>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</si>
  <si>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</si>
  <si>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</si>
  <si>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</si>
  <si>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</si>
  <si>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</si>
  <si>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</si>
  <si>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</si>
  <si>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</si>
  <si>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</si>
  <si>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</si>
  <si>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</si>
  <si>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</si>
  <si>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</si>
  <si>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</si>
  <si>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</si>
  <si>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</si>
  <si>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</si>
  <si>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</si>
  <si>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</si>
  <si>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</si>
  <si>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</si>
  <si>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</si>
  <si>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</si>
  <si>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</si>
  <si>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</si>
  <si>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</si>
  <si>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</si>
  <si>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</si>
  <si>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</si>
  <si>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</si>
  <si>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</si>
  <si>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</si>
  <si>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</si>
  <si>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</si>
  <si>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</si>
  <si>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</si>
  <si>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</si>
  <si>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</si>
  <si>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</si>
  <si>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</si>
  <si>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</si>
  <si>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</si>
  <si>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</si>
  <si>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</si>
  <si>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</si>
  <si>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</si>
  <si>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</si>
  <si>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</si>
  <si>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</si>
  <si>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</si>
  <si>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</si>
  <si>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</si>
  <si>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</si>
  <si>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</si>
  <si>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</si>
  <si>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</si>
  <si>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</si>
  <si>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</si>
  <si>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</si>
  <si>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</si>
  <si>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</si>
  <si>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</si>
  <si>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</si>
  <si>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</si>
  <si>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</si>
  <si>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</si>
  <si>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</si>
  <si>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</si>
  <si>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</si>
  <si>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</si>
  <si>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</si>
  <si>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</si>
  <si>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</si>
  <si>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</si>
  <si>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</si>
  <si>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</si>
  <si>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</si>
  <si>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</si>
  <si>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</si>
  <si>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</si>
  <si>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</si>
  <si>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</si>
  <si>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</si>
  <si>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</si>
  <si>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</si>
  <si>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</si>
  <si>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</si>
  <si>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</si>
  <si>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</si>
  <si>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</si>
  <si>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</si>
  <si>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</si>
  <si>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</si>
  <si>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</si>
  <si>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</si>
  <si>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</si>
  <si>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</si>
  <si>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</si>
  <si>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</si>
  <si>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</si>
  <si>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</si>
  <si>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</si>
  <si>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</si>
  <si>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</si>
  <si>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</si>
  <si>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</si>
  <si>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</si>
  <si>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</si>
  <si>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</si>
  <si>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</si>
  <si>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</si>
  <si>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</si>
  <si>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</si>
  <si>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</si>
  <si>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</si>
  <si>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</si>
  <si>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</si>
  <si>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</si>
  <si>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</si>
  <si>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</si>
  <si>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</si>
  <si>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</si>
  <si>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</si>
  <si>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</si>
  <si>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</si>
  <si>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</si>
  <si>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</si>
  <si>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</si>
  <si>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</si>
  <si>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</si>
  <si>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</si>
  <si>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</si>
  <si>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</si>
  <si>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</si>
  <si>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</si>
  <si>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</si>
  <si>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</si>
  <si>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</si>
  <si>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</si>
  <si>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</si>
  <si>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</si>
  <si>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</si>
  <si>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</si>
  <si>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</si>
  <si>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</si>
  <si>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</si>
  <si>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</si>
  <si>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</si>
  <si>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</si>
  <si>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</si>
  <si>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</si>
  <si>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</si>
  <si>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</si>
  <si>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</si>
  <si>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</si>
  <si>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</si>
  <si>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</si>
  <si>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</si>
  <si>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</si>
  <si>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</si>
  <si>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</si>
  <si>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</si>
  <si>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</si>
  <si>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</si>
  <si>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</si>
  <si>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</si>
  <si>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</si>
  <si>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</si>
  <si>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</si>
  <si>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</si>
  <si>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</si>
  <si>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</si>
  <si>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</si>
  <si>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</si>
  <si>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</si>
  <si>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</si>
  <si>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</si>
  <si>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</si>
  <si>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</si>
  <si>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</si>
  <si>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</si>
  <si>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</si>
  <si>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</si>
  <si>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</si>
  <si>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</si>
  <si>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</si>
  <si>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</si>
  <si>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</si>
  <si>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</si>
  <si>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</si>
  <si>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</si>
  <si>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</si>
  <si>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</si>
  <si>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</si>
  <si>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</si>
  <si>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</si>
  <si>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</si>
  <si>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</si>
  <si>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</si>
  <si>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</si>
  <si>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</si>
  <si>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</si>
  <si>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</si>
  <si>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</si>
  <si>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</si>
  <si>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</si>
  <si>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</si>
  <si>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</si>
  <si>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</si>
  <si>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</si>
  <si>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</si>
  <si>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</si>
  <si>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</si>
  <si>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</si>
  <si>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</si>
  <si>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</si>
  <si>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</si>
  <si>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</si>
  <si>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</si>
  <si>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</si>
  <si>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</si>
  <si>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</si>
  <si>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</si>
  <si>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</si>
  <si>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</si>
  <si>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</si>
  <si>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</si>
  <si>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</si>
  <si>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</si>
  <si>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</si>
  <si>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</si>
  <si>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</si>
  <si>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</si>
  <si>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</si>
  <si>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</si>
  <si>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</si>
  <si>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</si>
  <si>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</si>
  <si>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</si>
  <si>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</si>
  <si>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</si>
  <si>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</si>
  <si>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</si>
  <si>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</si>
  <si>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</si>
  <si>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</si>
  <si>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</si>
  <si>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</si>
  <si>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</si>
  <si>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</si>
  <si>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</si>
  <si>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</si>
  <si>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</si>
  <si>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</si>
  <si>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</si>
  <si>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</si>
  <si>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</si>
  <si>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</si>
  <si>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</si>
  <si>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</si>
  <si>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</si>
  <si>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</si>
  <si>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</si>
  <si>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</si>
  <si>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</si>
  <si>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</si>
  <si>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</si>
  <si>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</si>
  <si>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</si>
  <si>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</si>
  <si>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</si>
  <si>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</si>
  <si>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</si>
  <si>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</si>
  <si>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</si>
  <si>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</si>
  <si>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</si>
  <si>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</si>
  <si>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</si>
  <si>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</si>
  <si>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</si>
  <si>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</si>
  <si>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</si>
  <si>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</si>
  <si>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</si>
  <si>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</si>
  <si>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</si>
  <si>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</si>
  <si>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</si>
  <si>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</si>
  <si>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</si>
  <si>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</si>
  <si>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</si>
  <si>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</si>
  <si>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</si>
  <si>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</si>
  <si>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</si>
  <si>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</si>
  <si>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</si>
  <si>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</si>
  <si>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</si>
  <si>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</si>
  <si>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</si>
  <si>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</si>
  <si>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</si>
  <si>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</si>
  <si>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</si>
  <si>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</si>
  <si>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</si>
  <si>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</si>
  <si>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</si>
  <si>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</si>
  <si>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</si>
  <si>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</si>
  <si>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</si>
  <si>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</si>
  <si>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</si>
  <si>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</si>
  <si>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</si>
  <si>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</si>
  <si>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</si>
  <si>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</si>
  <si>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</si>
  <si>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</si>
  <si>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</si>
  <si>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</si>
  <si>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</si>
  <si>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</si>
  <si>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</si>
  <si>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</si>
  <si>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</si>
  <si>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</si>
  <si>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</si>
  <si>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</si>
  <si>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</si>
  <si>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</si>
  <si>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</si>
  <si>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</si>
  <si>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</si>
  <si>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</si>
  <si>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</si>
  <si>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</si>
  <si>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</si>
  <si>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</si>
  <si>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</si>
  <si>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</si>
  <si>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</si>
  <si>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</si>
  <si>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</si>
  <si>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</si>
  <si>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</si>
  <si>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</si>
  <si>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</si>
  <si>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</si>
  <si>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</si>
  <si>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</si>
  <si>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</si>
  <si>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</si>
  <si>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</si>
  <si>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</si>
  <si>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</si>
  <si>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</si>
  <si>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</si>
  <si>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</si>
  <si>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</si>
  <si>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</si>
  <si>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</si>
  <si>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</si>
  <si>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</si>
  <si>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</si>
  <si>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</si>
  <si>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</si>
  <si>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</si>
  <si>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</si>
  <si>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</si>
  <si>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</si>
  <si>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</si>
  <si>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</si>
  <si>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</si>
  <si>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</si>
  <si>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</si>
  <si>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</si>
  <si>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</si>
  <si>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</si>
  <si>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</si>
  <si>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</si>
  <si>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</si>
  <si>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</si>
  <si>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</si>
  <si>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</si>
  <si>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</si>
  <si>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</si>
  <si>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</si>
  <si>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</si>
  <si>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</si>
  <si>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</si>
  <si>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</si>
  <si>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</si>
  <si>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</si>
  <si>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</si>
  <si>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</si>
  <si>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</si>
  <si>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</si>
  <si>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</si>
  <si>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</si>
  <si>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</si>
  <si>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</si>
  <si>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</si>
  <si>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</si>
  <si>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</si>
  <si>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</si>
  <si>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</si>
  <si>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</si>
  <si>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</si>
  <si>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</si>
  <si>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</si>
  <si>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</si>
  <si>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</si>
  <si>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</si>
  <si>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</si>
  <si>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</si>
  <si>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</si>
  <si>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</si>
  <si>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</si>
  <si>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</si>
  <si>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</si>
  <si>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</si>
  <si>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</si>
  <si>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</si>
  <si>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</si>
  <si>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</si>
  <si>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</si>
  <si>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</si>
  <si>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</si>
  <si>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</si>
  <si>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</si>
  <si>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</si>
  <si>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</si>
  <si>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</si>
  <si>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</si>
  <si>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</si>
  <si>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</si>
  <si>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</si>
  <si>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</si>
  <si>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</si>
  <si>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</si>
  <si>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</si>
  <si>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</si>
  <si>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</si>
  <si>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</si>
  <si>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</si>
  <si>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</si>
  <si>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</si>
  <si>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</si>
  <si>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</si>
  <si>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</si>
  <si>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</si>
  <si>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</si>
  <si>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</si>
  <si>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</si>
  <si>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</si>
  <si>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</si>
  <si>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</si>
  <si>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</si>
  <si>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</si>
  <si>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</si>
  <si>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</si>
  <si>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</si>
  <si>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</si>
  <si>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</si>
  <si>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</si>
  <si>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</si>
  <si>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</si>
  <si>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</si>
  <si>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</si>
  <si>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</si>
  <si>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</si>
  <si>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</si>
  <si>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</si>
  <si>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</si>
  <si>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</si>
  <si>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</si>
  <si>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</si>
  <si>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</si>
  <si>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</si>
  <si>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</si>
  <si>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</si>
  <si>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</si>
  <si>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</si>
  <si>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</si>
  <si>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</si>
  <si>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</si>
  <si>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</si>
  <si>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</si>
  <si>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</si>
  <si>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</si>
  <si>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</si>
  <si>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</si>
  <si>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</si>
  <si>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</si>
  <si>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</si>
  <si>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</si>
  <si>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</si>
  <si>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</si>
  <si>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</si>
  <si>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</si>
  <si>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</si>
  <si>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</si>
  <si>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</si>
  <si>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</si>
  <si>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</si>
  <si>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</si>
  <si>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</si>
  <si>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</si>
  <si>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</si>
  <si>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</si>
  <si>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</si>
  <si>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</si>
  <si>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</si>
  <si>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</si>
  <si>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</si>
  <si>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</si>
  <si>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</si>
  <si>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</si>
  <si>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</si>
  <si>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</si>
  <si>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</si>
  <si>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</si>
  <si>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</si>
  <si>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</si>
  <si>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</si>
  <si>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</si>
  <si>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</si>
  <si>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</si>
  <si>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</si>
  <si>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</si>
  <si>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</si>
  <si>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</si>
  <si>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</si>
  <si>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</si>
  <si>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</si>
  <si>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</si>
  <si>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</si>
  <si>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</si>
  <si>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</si>
  <si>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</si>
  <si>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</si>
  <si>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</si>
  <si>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</si>
  <si>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</si>
  <si>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</si>
  <si>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</si>
  <si>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</si>
  <si>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</si>
  <si>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</si>
  <si>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</si>
  <si>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</si>
  <si>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</si>
  <si>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</si>
  <si>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</si>
  <si>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</si>
  <si>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</si>
  <si>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</si>
  <si>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</si>
  <si>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</si>
  <si>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</si>
  <si>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</si>
  <si>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</si>
  <si>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</si>
  <si>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</si>
  <si>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</si>
  <si>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</si>
  <si>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</si>
  <si>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</si>
  <si>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</si>
  <si>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</si>
  <si>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</si>
  <si>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</si>
  <si>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</si>
  <si>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</si>
  <si>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</si>
  <si>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</si>
  <si>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</si>
  <si>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</si>
  <si>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</si>
  <si>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</si>
  <si>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</si>
  <si>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</si>
  <si>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</si>
  <si>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</si>
  <si>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</si>
  <si>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</si>
  <si>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</si>
  <si>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</si>
  <si>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</si>
  <si>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</si>
  <si>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</si>
  <si>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</si>
  <si>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</si>
  <si>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</si>
  <si>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</si>
  <si>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</si>
  <si>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</si>
  <si>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</si>
  <si>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</si>
  <si>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</si>
  <si>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</si>
  <si>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</si>
  <si>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</si>
  <si>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</si>
  <si>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</si>
  <si>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</si>
  <si>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</si>
  <si>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</si>
  <si>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</si>
  <si>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</si>
  <si>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</si>
  <si>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</si>
  <si>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</si>
  <si>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</si>
  <si>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</si>
  <si>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</si>
  <si>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</si>
  <si>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</si>
  <si>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</si>
  <si>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</si>
  <si>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</si>
  <si>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</si>
  <si>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</si>
  <si>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</si>
  <si>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</si>
  <si>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</si>
  <si>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</si>
  <si>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</si>
  <si>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</si>
  <si>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</si>
  <si>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</si>
  <si>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</si>
  <si>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</si>
  <si>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</si>
  <si>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</si>
  <si>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</si>
  <si>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</si>
  <si>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</si>
  <si>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</si>
  <si>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</si>
  <si>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</si>
  <si>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</si>
  <si>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</si>
  <si>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</si>
  <si>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</si>
  <si>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</si>
  <si>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</si>
  <si>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</si>
  <si>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</si>
  <si>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</si>
  <si>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</si>
  <si>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</si>
  <si>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</si>
  <si>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</si>
  <si>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</si>
  <si>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</si>
  <si>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</si>
  <si>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</si>
  <si>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</si>
  <si>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</si>
  <si>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</si>
  <si>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</si>
  <si>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</si>
  <si>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</si>
  <si>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</si>
  <si>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</si>
  <si>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</si>
  <si>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</si>
  <si>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</si>
  <si>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</si>
  <si>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</si>
  <si>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</si>
  <si>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</si>
  <si>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</si>
  <si>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</si>
  <si>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</si>
  <si>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</si>
  <si>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</si>
  <si>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</si>
  <si>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</si>
  <si>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</si>
  <si>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</si>
  <si>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</si>
  <si>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</si>
  <si>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</si>
  <si>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</si>
  <si>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</si>
  <si>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</si>
  <si>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</si>
  <si>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</si>
  <si>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</si>
  <si>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</si>
  <si>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</si>
  <si>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</si>
  <si>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</si>
  <si>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</si>
  <si>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</si>
  <si>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</si>
  <si>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</si>
  <si>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</si>
  <si>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</si>
  <si>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</si>
  <si>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</si>
  <si>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</si>
  <si>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</si>
  <si>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</si>
  <si>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</si>
  <si>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</si>
  <si>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</si>
  <si>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</si>
  <si>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</si>
  <si>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</si>
  <si>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</si>
  <si>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</si>
  <si>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</si>
  <si>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</si>
  <si>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</si>
  <si>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</si>
  <si>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</si>
  <si>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</si>
  <si>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</si>
  <si>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</si>
  <si>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</si>
  <si>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</si>
  <si>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</si>
  <si>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</si>
  <si>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</si>
  <si>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</si>
  <si>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</si>
  <si>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</si>
  <si>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</si>
  <si>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</si>
  <si>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</si>
  <si>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</si>
  <si>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</si>
  <si>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</si>
  <si>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</si>
  <si>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</si>
  <si>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</si>
  <si>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</si>
  <si>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</si>
  <si>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</si>
  <si>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</si>
  <si>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</si>
  <si>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</si>
  <si>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</si>
  <si>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</si>
  <si>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</si>
  <si>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</si>
  <si>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</si>
  <si>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</si>
  <si>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</si>
  <si>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</si>
  <si>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</si>
  <si>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</si>
  <si>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</si>
  <si>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</si>
  <si>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</si>
  <si>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</si>
  <si>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</si>
  <si>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</si>
  <si>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</si>
  <si>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</si>
  <si>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</si>
  <si>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</si>
  <si>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</si>
  <si>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</si>
  <si>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</si>
  <si>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</si>
  <si>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</si>
  <si>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</si>
  <si>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</si>
  <si>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</si>
  <si>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</si>
  <si>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</si>
  <si>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</si>
  <si>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</si>
  <si>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</si>
  <si>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</si>
  <si>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</si>
  <si>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</si>
  <si>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</si>
  <si>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</si>
  <si>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</si>
  <si>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</si>
  <si>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</si>
  <si>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</si>
  <si>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</si>
  <si>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</si>
  <si>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</si>
  <si>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</si>
  <si>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</si>
  <si>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</si>
  <si>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</si>
  <si>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</si>
  <si>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</si>
  <si>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</si>
  <si>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</si>
  <si>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</si>
  <si>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</si>
  <si>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</si>
  <si>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</si>
  <si>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</si>
  <si>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</si>
  <si>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</si>
  <si>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</si>
  <si>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</si>
  <si>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</si>
  <si>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</si>
  <si>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</si>
  <si>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</si>
  <si>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</si>
  <si>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</si>
  <si>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</si>
  <si>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</si>
  <si>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</si>
  <si>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</si>
  <si>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</si>
  <si>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</si>
  <si>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</si>
  <si>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</si>
  <si>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</si>
  <si>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</si>
  <si>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</si>
  <si>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</si>
  <si>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</si>
  <si>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</si>
  <si>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</si>
  <si>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</si>
  <si>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</si>
  <si>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</si>
  <si>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</si>
  <si>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</si>
  <si>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</si>
  <si>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</si>
  <si>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</si>
  <si>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</si>
  <si>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</si>
  <si>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</si>
  <si>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</si>
  <si>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</si>
  <si>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</si>
  <si>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</si>
  <si>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</si>
  <si>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</si>
  <si>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</si>
  <si>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</si>
  <si>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</si>
  <si>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</si>
  <si>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</si>
  <si>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</si>
  <si>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</si>
  <si>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</si>
  <si>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</si>
  <si>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</si>
  <si>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</si>
  <si>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</si>
  <si>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</si>
  <si>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</si>
  <si>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</si>
  <si>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</si>
  <si>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</si>
  <si>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</si>
  <si>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</si>
  <si>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</si>
  <si>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</si>
  <si>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</si>
  <si>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</si>
  <si>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</si>
  <si>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</si>
  <si>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</si>
  <si>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</si>
  <si>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</si>
  <si>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</si>
  <si>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</si>
  <si>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</si>
  <si>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</si>
  <si>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</si>
  <si>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</si>
  <si>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</si>
  <si>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</si>
  <si>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</si>
  <si>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</si>
  <si>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</si>
  <si>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</si>
  <si>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</si>
  <si>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</si>
  <si>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</si>
  <si>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</si>
  <si>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</si>
  <si>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</si>
  <si>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</si>
  <si>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</si>
  <si>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</si>
  <si>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</si>
  <si>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</si>
  <si>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</si>
  <si>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</si>
  <si>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</si>
  <si>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</si>
  <si>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</si>
  <si>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</si>
  <si>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</si>
  <si>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</si>
  <si>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</si>
  <si>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</si>
  <si>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</si>
  <si>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</si>
  <si>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</si>
  <si>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</si>
  <si>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</si>
  <si>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</si>
  <si>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</si>
  <si>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</si>
  <si>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</si>
  <si>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</si>
  <si>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</si>
  <si>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</si>
  <si>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</si>
  <si>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</si>
  <si>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</si>
  <si>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</si>
  <si>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</si>
  <si>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</si>
  <si>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</si>
  <si>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</si>
  <si>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</si>
  <si>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</si>
  <si>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</si>
  <si>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</si>
  <si>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</si>
  <si>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</si>
  <si>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</si>
  <si>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</si>
  <si>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</si>
  <si>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</si>
  <si>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</si>
  <si>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</si>
  <si>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</si>
  <si>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</si>
  <si>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</si>
  <si>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</si>
  <si>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</si>
  <si>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</si>
  <si>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</si>
  <si>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</si>
  <si>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</si>
  <si>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</si>
  <si>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</si>
  <si>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</si>
  <si>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</si>
  <si>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</si>
  <si>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</si>
  <si>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</si>
  <si>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</si>
  <si>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</si>
  <si>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</si>
  <si>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</si>
  <si>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</si>
  <si>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</si>
  <si>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</si>
  <si>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</si>
  <si>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</si>
  <si>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</si>
  <si>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</si>
  <si>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</si>
  <si>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</si>
  <si>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</si>
  <si>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</si>
  <si>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</si>
  <si>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</si>
  <si>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</si>
  <si>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</si>
  <si>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</si>
  <si>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</si>
  <si>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</si>
  <si>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</si>
  <si>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</si>
  <si>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</si>
  <si>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</si>
  <si>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</si>
  <si>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</si>
  <si>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</si>
  <si>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</si>
  <si>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</si>
  <si>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</si>
  <si>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</si>
  <si>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</si>
  <si>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</si>
  <si>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</si>
  <si>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</si>
  <si>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</si>
  <si>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</si>
  <si>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</si>
  <si>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</si>
  <si>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</si>
  <si>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</si>
  <si>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</si>
  <si>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</si>
  <si>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</si>
  <si>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</si>
  <si>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</si>
  <si>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</si>
  <si>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</si>
  <si>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</si>
  <si>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</si>
  <si>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</si>
  <si>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</si>
  <si>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</si>
  <si>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</si>
  <si>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</si>
  <si>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</si>
  <si>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</si>
  <si>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</si>
  <si>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</si>
  <si>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</si>
  <si>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</si>
  <si>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</si>
  <si>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</si>
  <si>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</si>
  <si>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</si>
  <si>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</si>
  <si>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</si>
  <si>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</si>
  <si>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</si>
  <si>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</si>
  <si>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</si>
  <si>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</si>
  <si>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</si>
  <si>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</si>
  <si>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</si>
  <si>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</si>
  <si>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</si>
  <si>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</si>
  <si>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</si>
  <si>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</si>
  <si>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</si>
  <si>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</si>
  <si>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</si>
  <si>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</si>
  <si>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</si>
  <si>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</si>
  <si>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</si>
  <si>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</si>
  <si>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</si>
  <si>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</si>
  <si>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</si>
  <si>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</si>
  <si>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</si>
  <si>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</si>
  <si>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</si>
  <si>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</si>
  <si>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</si>
  <si>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</si>
  <si>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</si>
  <si>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</si>
  <si>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</si>
  <si>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</si>
  <si>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</si>
  <si>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</si>
  <si>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</si>
  <si>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</si>
  <si>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</si>
  <si>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</si>
  <si>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</si>
  <si>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</si>
  <si>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</si>
  <si>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</si>
  <si>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</si>
  <si>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</si>
  <si>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</si>
  <si>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</si>
  <si>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</si>
  <si>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</si>
  <si>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</si>
  <si>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</si>
  <si>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</si>
  <si>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</si>
  <si>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</si>
  <si>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</si>
  <si>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</si>
  <si>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</si>
  <si>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</si>
  <si>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</si>
  <si>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</si>
  <si>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</si>
  <si>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</si>
  <si>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</si>
  <si>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</si>
  <si>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</si>
  <si>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</si>
  <si>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</si>
  <si>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</si>
  <si>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</si>
  <si>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</si>
  <si>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</si>
  <si>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</si>
  <si>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</si>
  <si>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</si>
  <si>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</si>
  <si>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</si>
  <si>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</si>
  <si>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</si>
  <si>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</si>
  <si>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</si>
  <si>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</si>
  <si>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</si>
  <si>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</si>
  <si>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</si>
  <si>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</si>
  <si>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</si>
  <si>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</si>
  <si>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</si>
  <si>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</si>
  <si>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</si>
  <si>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</si>
  <si>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</si>
  <si>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</si>
  <si>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</si>
  <si>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</si>
  <si>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</si>
  <si>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</si>
  <si>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</si>
  <si>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</si>
  <si>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</si>
  <si>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</si>
  <si>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</si>
  <si>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</si>
  <si>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</si>
  <si>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</si>
  <si>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</si>
  <si>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</si>
  <si>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</si>
  <si>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</si>
  <si>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</si>
  <si>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</si>
  <si>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</si>
  <si>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</si>
  <si>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</si>
  <si>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</si>
  <si>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</si>
  <si>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</si>
  <si>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</si>
  <si>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</si>
  <si>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</si>
  <si>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</si>
  <si>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</si>
  <si>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</si>
  <si>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</si>
  <si>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</si>
  <si>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</si>
  <si>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</si>
  <si>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</si>
  <si>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</si>
  <si>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</si>
  <si>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</si>
  <si>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</si>
  <si>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</si>
  <si>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</si>
  <si>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</si>
  <si>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</si>
  <si>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</si>
  <si>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</si>
  <si>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</si>
  <si>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</si>
  <si>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</si>
  <si>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</si>
  <si>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</si>
  <si>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</si>
  <si>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</si>
  <si>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</si>
  <si>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</si>
  <si>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</si>
  <si>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</si>
  <si>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</si>
  <si>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</si>
  <si>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</si>
  <si>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</si>
  <si>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</si>
  <si>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</si>
  <si>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</si>
  <si>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</si>
  <si>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</si>
  <si>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</si>
  <si>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</si>
  <si>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</si>
  <si>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</si>
  <si>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</si>
  <si>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</si>
  <si>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</si>
  <si>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</si>
  <si>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</si>
  <si>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</si>
  <si>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</si>
  <si>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</si>
  <si>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</si>
  <si>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</si>
  <si>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</si>
  <si>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</si>
  <si>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</si>
  <si>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</si>
  <si>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</si>
  <si>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</si>
  <si>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</si>
  <si>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</si>
  <si>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</si>
  <si>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</si>
  <si>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</si>
  <si>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</si>
  <si>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</si>
  <si>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</si>
  <si>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</si>
  <si>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</si>
  <si>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</si>
  <si>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</si>
  <si>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</si>
  <si>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</si>
  <si>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</si>
  <si>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</si>
  <si>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</si>
  <si>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</si>
  <si>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</si>
  <si>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</si>
  <si>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</si>
  <si>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</si>
  <si>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</si>
  <si>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</si>
  <si>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</si>
  <si>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</si>
  <si>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</si>
  <si>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</si>
  <si>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</si>
  <si>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</si>
  <si>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</si>
  <si>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</si>
  <si>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</si>
  <si>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</si>
  <si>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</si>
  <si>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</si>
  <si>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</si>
  <si>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</si>
  <si>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</si>
  <si>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</si>
  <si>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</si>
  <si>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</si>
  <si>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</si>
  <si>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</si>
  <si>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</si>
  <si>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</si>
  <si>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</si>
  <si>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</si>
  <si>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</si>
  <si>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</si>
  <si>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</si>
  <si>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</si>
  <si>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</si>
  <si>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</si>
  <si>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</si>
  <si>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</si>
  <si>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</si>
  <si>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</si>
  <si>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</si>
  <si>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</si>
  <si>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</si>
  <si>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</si>
  <si>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</si>
  <si>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</si>
  <si>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</si>
  <si>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</si>
  <si>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</si>
  <si>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</si>
  <si>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</si>
  <si>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</si>
  <si>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</si>
  <si>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</si>
  <si>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</si>
  <si>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</si>
  <si>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</si>
  <si>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</si>
  <si>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</si>
  <si>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</si>
  <si>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</si>
  <si>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</si>
  <si>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</si>
  <si>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</si>
  <si>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</si>
  <si>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</si>
  <si>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</si>
  <si>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</si>
  <si>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</si>
  <si>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</si>
  <si>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</si>
  <si>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</si>
  <si>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</si>
  <si>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</si>
  <si>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</si>
  <si>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</si>
  <si>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</si>
  <si>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</si>
  <si>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</si>
  <si>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</si>
  <si>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</si>
  <si>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</si>
  <si>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</si>
  <si>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</si>
  <si>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</si>
  <si>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</si>
  <si>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</si>
  <si>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</si>
  <si>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</si>
  <si>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</si>
  <si>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</si>
  <si>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</si>
  <si>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</si>
  <si>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</si>
  <si>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</si>
  <si>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</si>
  <si>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</si>
  <si>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</si>
  <si>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</si>
  <si>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</si>
  <si>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</si>
  <si>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</si>
  <si>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</si>
  <si>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</si>
  <si>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</si>
  <si>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</si>
  <si>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</si>
  <si>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</si>
  <si>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</si>
  <si>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</si>
  <si>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</si>
  <si>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</si>
  <si>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</si>
  <si>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</si>
  <si>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</si>
  <si>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</si>
  <si>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</si>
  <si>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</si>
  <si>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</si>
  <si>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</si>
  <si>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</si>
  <si>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</si>
  <si>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</si>
  <si>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</si>
  <si>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</si>
  <si>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</si>
  <si>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</si>
  <si>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</si>
  <si>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</si>
  <si>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</si>
  <si>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</si>
  <si>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</si>
  <si>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</si>
  <si>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</si>
  <si>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</si>
  <si>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</si>
  <si>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</si>
  <si>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</si>
  <si>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</si>
  <si>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</si>
  <si>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</si>
  <si>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</si>
  <si>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</si>
  <si>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</si>
  <si>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</si>
  <si>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</si>
  <si>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</si>
  <si>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</si>
  <si>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</si>
  <si>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</si>
  <si>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</si>
  <si>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</si>
  <si>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</si>
  <si>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</si>
  <si>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</si>
  <si>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</si>
  <si>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</si>
  <si>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</si>
  <si>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</si>
  <si>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</si>
  <si>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</si>
  <si>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</si>
  <si>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</si>
  <si>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</si>
  <si>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</si>
  <si>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</si>
  <si>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</si>
  <si>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</si>
  <si>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</si>
  <si>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</si>
  <si>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</si>
  <si>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</si>
  <si>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</si>
  <si>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</si>
  <si>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</si>
  <si>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</si>
  <si>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</si>
  <si>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</si>
  <si>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</si>
  <si>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</si>
  <si>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</si>
  <si>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</si>
  <si>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</si>
  <si>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</si>
  <si>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</si>
  <si>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</si>
  <si>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</si>
  <si>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</si>
  <si>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</si>
  <si>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</si>
  <si>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</si>
  <si>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</si>
  <si>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</si>
  <si>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</si>
  <si>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</si>
  <si>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</si>
  <si>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</si>
  <si>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</si>
  <si>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</si>
  <si>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</si>
  <si>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</si>
  <si>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</si>
  <si>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</si>
  <si>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</si>
  <si>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</si>
  <si>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</si>
  <si>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</si>
  <si>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</si>
  <si>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</si>
  <si>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</si>
  <si>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</si>
  <si>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</si>
  <si>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</si>
  <si>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</si>
  <si>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</si>
  <si>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</si>
  <si>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</si>
  <si>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</si>
  <si>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</si>
  <si>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</si>
  <si>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</si>
  <si>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</si>
  <si>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</si>
  <si>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</si>
  <si>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</si>
  <si>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</si>
  <si>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</si>
  <si>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</si>
  <si>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</si>
  <si>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</si>
  <si>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</si>
  <si>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</si>
  <si>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</si>
  <si>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</si>
  <si>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</si>
  <si>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</si>
  <si>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</si>
  <si>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</si>
  <si>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</si>
  <si>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</si>
  <si>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</si>
  <si>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</si>
  <si>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</si>
  <si>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</si>
  <si>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</si>
  <si>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</si>
  <si>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</si>
  <si>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</si>
  <si>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</si>
  <si>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</si>
  <si>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</si>
  <si>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</si>
  <si>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</si>
  <si>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</si>
  <si>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</si>
  <si>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</si>
  <si>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</si>
  <si>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</si>
  <si>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</si>
  <si>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</si>
  <si>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</si>
  <si>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</si>
  <si>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</si>
  <si>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</si>
  <si>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</si>
  <si>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</si>
  <si>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</si>
  <si>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</si>
  <si>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</si>
  <si>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</si>
  <si>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</si>
  <si>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</si>
  <si>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</si>
  <si>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</si>
  <si>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</si>
  <si>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</si>
  <si>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</si>
  <si>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</si>
  <si>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</si>
  <si>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</si>
  <si>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</si>
  <si>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</si>
  <si>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</si>
  <si>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</si>
  <si>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</si>
  <si>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</si>
  <si>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</si>
  <si>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</si>
  <si>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</si>
  <si>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</si>
  <si>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</si>
  <si>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</si>
  <si>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</si>
  <si>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</si>
  <si>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</si>
  <si>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</si>
  <si>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</si>
  <si>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</si>
  <si>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</si>
  <si>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</si>
  <si>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</si>
  <si>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</si>
  <si>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</si>
  <si>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</si>
  <si>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</si>
  <si>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</si>
  <si>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</si>
  <si>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</si>
  <si>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</si>
  <si>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</si>
  <si>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</si>
  <si>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</si>
  <si>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</si>
  <si>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</si>
  <si>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</si>
  <si>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</si>
  <si>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</si>
  <si>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</si>
  <si>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</si>
  <si>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</si>
  <si>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</si>
  <si>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</si>
  <si>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</si>
  <si>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</si>
  <si>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</si>
  <si>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</si>
  <si>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</si>
  <si>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</si>
  <si>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</si>
  <si>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</si>
  <si>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</si>
  <si>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</si>
  <si>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</si>
  <si>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</si>
  <si>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</si>
  <si>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</si>
  <si>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</si>
  <si>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</si>
  <si>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</si>
  <si>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</si>
  <si>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</si>
  <si>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</si>
  <si>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</si>
  <si>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</si>
  <si>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</si>
  <si>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</si>
  <si>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</si>
  <si>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</si>
  <si>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</si>
  <si>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</si>
  <si>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</si>
  <si>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</si>
  <si>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</si>
  <si>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</si>
  <si>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</si>
  <si>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</si>
  <si>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</si>
  <si>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</si>
  <si>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</si>
  <si>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</si>
  <si>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</si>
  <si>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</si>
  <si>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</si>
  <si>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</si>
  <si>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</si>
  <si>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</si>
  <si>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</si>
  <si>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</si>
  <si>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</si>
  <si>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</si>
  <si>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</si>
  <si>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</si>
  <si>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</si>
  <si>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</si>
  <si>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</si>
  <si>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</si>
  <si>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</si>
  <si>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</si>
  <si>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</si>
  <si>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</si>
  <si>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</si>
  <si>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</si>
  <si>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</si>
  <si>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</si>
  <si>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</si>
  <si>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</si>
  <si>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</si>
  <si>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</si>
  <si>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</si>
  <si>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</si>
  <si>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</si>
  <si>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</si>
  <si>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</si>
  <si>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</si>
  <si>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</si>
  <si>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</si>
  <si>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</si>
  <si>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</si>
  <si>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</si>
  <si>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</si>
  <si>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</si>
  <si>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</si>
  <si>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</si>
  <si>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</si>
  <si>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</si>
  <si>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</si>
  <si>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</si>
  <si>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</si>
  <si>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</si>
  <si>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</si>
  <si>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</si>
  <si>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</si>
  <si>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</si>
  <si>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</si>
  <si>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</si>
  <si>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</si>
  <si>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</si>
  <si>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</si>
  <si>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</si>
  <si>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</si>
  <si>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</si>
  <si>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</si>
  <si>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</si>
  <si>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</si>
  <si>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</si>
  <si>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</si>
  <si>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</si>
  <si>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</si>
  <si>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</si>
  <si>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</si>
  <si>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</si>
  <si>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</si>
  <si>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</si>
  <si>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</si>
  <si>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</si>
  <si>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</si>
  <si>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</si>
  <si>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</si>
  <si>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</si>
  <si>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</si>
  <si>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</si>
  <si>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</si>
  <si>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</si>
  <si>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</si>
  <si>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</si>
  <si>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</si>
  <si>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</si>
  <si>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</si>
  <si>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</si>
  <si>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</si>
  <si>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</si>
  <si>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</si>
  <si>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</si>
  <si>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</si>
  <si>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</si>
  <si>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</si>
  <si>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</si>
  <si>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</si>
  <si>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</si>
  <si>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</si>
  <si>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</si>
  <si>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</si>
  <si>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</si>
  <si>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</si>
  <si>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</si>
  <si>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</si>
  <si>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</si>
  <si>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</si>
  <si>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</si>
  <si>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</si>
  <si>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</si>
  <si>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</si>
  <si>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</si>
  <si>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</si>
  <si>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</si>
  <si>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</si>
  <si>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</si>
  <si>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</si>
  <si>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</si>
  <si>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</si>
  <si>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</si>
  <si>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</si>
  <si>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</si>
  <si>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</si>
  <si>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</si>
  <si>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</si>
  <si>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</si>
  <si>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</si>
  <si>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</si>
  <si>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</si>
  <si>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</si>
  <si>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</si>
  <si>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</si>
  <si>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</si>
  <si>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</si>
  <si>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</si>
  <si>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</si>
  <si>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</si>
  <si>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</si>
  <si>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</si>
  <si>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</si>
  <si>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</si>
  <si>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</si>
  <si>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</si>
  <si>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</si>
  <si>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</si>
  <si>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</si>
  <si>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</si>
  <si>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</si>
  <si>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</si>
  <si>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</si>
  <si>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</si>
  <si>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</si>
  <si>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</si>
  <si>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</si>
  <si>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</si>
  <si>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</si>
  <si>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</si>
  <si>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</si>
  <si>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</si>
  <si>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</si>
  <si>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</si>
  <si>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</si>
  <si>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</si>
  <si>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</si>
  <si>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</si>
  <si>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</si>
  <si>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</si>
  <si>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</si>
  <si>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</si>
  <si>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</si>
  <si>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</si>
  <si>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</si>
  <si>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</si>
  <si>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</si>
  <si>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</si>
  <si>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</si>
  <si>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</si>
  <si>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</si>
  <si>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</si>
  <si>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</si>
  <si>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</si>
  <si>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</si>
  <si>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</si>
  <si>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</si>
  <si>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</si>
  <si>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</si>
  <si>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</si>
  <si>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</si>
  <si>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</si>
  <si>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</si>
  <si>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</si>
  <si>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</si>
  <si>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</si>
  <si>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</si>
  <si>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</si>
  <si>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</si>
  <si>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</si>
  <si>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</si>
  <si>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</si>
  <si>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</si>
  <si>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</si>
  <si>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</si>
  <si>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</si>
  <si>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</si>
  <si>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</si>
  <si>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</si>
  <si>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</si>
  <si>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</si>
  <si>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</si>
  <si>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</si>
  <si>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</si>
  <si>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</si>
  <si>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</si>
  <si>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</si>
  <si>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</si>
  <si>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</si>
  <si>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</si>
  <si>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</si>
  <si>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</si>
  <si>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</si>
  <si>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</si>
  <si>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</si>
  <si>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</si>
  <si>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</si>
  <si>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</si>
  <si>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</si>
  <si>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</si>
  <si>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</si>
  <si>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</si>
  <si>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</si>
  <si>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</si>
  <si>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</si>
  <si>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</si>
  <si>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</si>
  <si>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</si>
  <si>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</si>
  <si>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</si>
  <si>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</si>
  <si>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</si>
  <si>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</si>
  <si>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</si>
  <si>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</si>
  <si>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</si>
  <si>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</si>
  <si>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</si>
  <si>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</si>
  <si>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</si>
  <si>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</si>
  <si>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</si>
  <si>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</si>
  <si>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</si>
  <si>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</si>
  <si>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</si>
  <si>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</si>
  <si>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</si>
  <si>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</si>
  <si>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</si>
  <si>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</si>
  <si>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</si>
  <si>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</si>
  <si>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</si>
  <si>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</si>
  <si>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</si>
  <si>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</si>
  <si>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</si>
  <si>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</si>
  <si>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Titanium Industries, Inc.</t>
  </si>
  <si>
    <t>Metals distributor, titanium, stainless steel, nickel base alloys, aluminum and specialty steels.</t>
  </si>
  <si>
    <t>UEI</t>
  </si>
  <si>
    <t>WY3RNC5GMY36</t>
  </si>
  <si>
    <t>18 Green Pond Road, Rockaway, NJ 07866</t>
  </si>
  <si>
    <t>Carmela Collazos</t>
  </si>
  <si>
    <t>ccollazos@titanium.com</t>
  </si>
  <si>
    <t>973-983-6226</t>
  </si>
  <si>
    <t>Compliance Officer</t>
  </si>
  <si>
    <t>3 titanium alloys have 2% tin from virgin and recycled materials</t>
  </si>
  <si>
    <t>Hastelloy alloys have 3-4% Tungsten from virgin and recycled materials</t>
  </si>
  <si>
    <t>3 titanium alloys have 2% tin</t>
  </si>
  <si>
    <t>Hastelloy alloys have 3-4% tungsten</t>
  </si>
  <si>
    <t>N/A-material that we distribute meets all environmental requirements</t>
  </si>
  <si>
    <t>No-as a U.S. based distributor we comply with the regulations of not supplying/distributing product from conflict-affected and high-risk areas.</t>
  </si>
  <si>
    <t>Combination of virgin and recycled material not exceeding any limiting requirements.</t>
  </si>
  <si>
    <t>We procure and distribute compliant only material.</t>
  </si>
  <si>
    <t>see smelters list attached</t>
  </si>
  <si>
    <t>see smelters list attached.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</si>
</sst>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collazos@titanium.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collazos@titanium.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9"/>
      <c r="B2" s="4" t="s">
        <v>807</v>
      </c>
      <c r="C2" s="2"/>
      <c r="D2" s="159"/>
      <c r="E2" s="2"/>
      <c r="F2" s="2"/>
      <c r="G2" s="24"/>
    </row>
    <row r="3" spans="1:7">
      <c r="A3" s="309"/>
      <c r="B3" s="2" t="s">
        <v>800</v>
      </c>
      <c r="C3" s="4"/>
      <c r="D3" s="160"/>
      <c r="E3" s="2"/>
      <c r="F3" s="4"/>
      <c r="G3" s="24"/>
    </row>
    <row r="4" spans="1:7" ht="15.75">
      <c r="A4" s="309"/>
      <c r="B4" s="27" t="s">
        <v>809</v>
      </c>
      <c r="C4" s="5"/>
      <c r="D4" s="161"/>
      <c r="E4" s="2"/>
      <c r="F4" s="5"/>
      <c r="G4" s="24"/>
    </row>
    <row r="5" spans="1:7">
      <c r="A5" s="309"/>
      <c r="B5" s="26" t="s">
        <v>998</v>
      </c>
      <c r="C5" s="3"/>
      <c r="D5" s="162"/>
      <c r="E5" s="2"/>
      <c r="F5" s="3"/>
      <c r="G5" s="24"/>
    </row>
    <row r="6" spans="1:7">
      <c r="A6" s="309"/>
      <c r="B6" s="2"/>
      <c r="C6" s="2"/>
      <c r="D6" s="159"/>
      <c r="E6" s="2"/>
      <c r="F6" s="2"/>
      <c r="G6" s="24"/>
    </row>
    <row r="7" spans="1:7">
      <c r="A7" s="309"/>
      <c r="B7" s="2"/>
      <c r="C7" s="2"/>
      <c r="D7" s="159"/>
      <c r="E7" s="2"/>
      <c r="F7" s="2"/>
      <c r="G7" s="24"/>
    </row>
    <row r="8" spans="1:7">
      <c r="A8" s="309"/>
      <c r="B8" s="2"/>
      <c r="C8" s="2"/>
      <c r="D8" s="159"/>
      <c r="E8" s="2"/>
      <c r="F8" s="2"/>
      <c r="G8" s="24"/>
    </row>
    <row r="9" spans="1:7">
      <c r="A9" s="309"/>
      <c r="B9" s="312" t="s">
        <v>810</v>
      </c>
      <c r="C9" s="312"/>
      <c r="D9" s="312"/>
      <c r="E9" s="312"/>
      <c r="F9" s="312"/>
      <c r="G9" s="24"/>
    </row>
    <row r="10" spans="1:7" ht="27" customHeight="1">
      <c r="A10" s="309"/>
      <c r="B10" s="313" t="s">
        <v>423</v>
      </c>
      <c r="C10" s="313"/>
      <c r="D10" s="313"/>
      <c r="E10" s="313"/>
      <c r="F10" s="313"/>
      <c r="G10" s="24"/>
    </row>
    <row r="11" spans="1:7" ht="27" customHeight="1">
      <c r="A11" s="309"/>
      <c r="B11" s="314"/>
      <c r="C11" s="314"/>
      <c r="D11" s="314"/>
      <c r="E11" s="314"/>
      <c r="F11" s="314"/>
      <c r="G11" s="24"/>
    </row>
    <row r="12" spans="1:7">
      <c r="A12" s="309"/>
      <c r="B12" s="28" t="s">
        <v>808</v>
      </c>
      <c r="C12" s="29" t="s">
        <v>811</v>
      </c>
      <c r="D12" s="163" t="s">
        <v>812</v>
      </c>
      <c r="E12" s="29" t="s">
        <v>593</v>
      </c>
      <c r="F12" s="29" t="s">
        <v>594</v>
      </c>
      <c r="G12" s="24"/>
    </row>
    <row r="13" spans="1:7" ht="33.75">
      <c r="A13" s="309"/>
      <c r="B13" s="275">
        <v>1</v>
      </c>
      <c r="C13" s="276" t="s">
        <v>1046</v>
      </c>
      <c r="D13" s="277" t="s">
        <v>836</v>
      </c>
      <c r="E13" s="278" t="s">
        <v>813</v>
      </c>
      <c r="F13" s="278"/>
      <c r="G13" s="24"/>
    </row>
    <row r="14" spans="1:7" ht="56.25">
      <c r="A14" s="309"/>
      <c r="B14" s="275">
        <v>2</v>
      </c>
      <c r="C14" s="276" t="s">
        <v>1046</v>
      </c>
      <c r="D14" s="277" t="s">
        <v>983</v>
      </c>
      <c r="E14" s="278" t="s">
        <v>513</v>
      </c>
      <c r="F14" s="278" t="s">
        <v>514</v>
      </c>
      <c r="G14" s="24"/>
    </row>
    <row r="15" spans="1:7" ht="89.1" customHeight="1">
      <c r="A15" s="309"/>
      <c r="B15" s="294">
        <v>2.0099999999999998</v>
      </c>
      <c r="C15" s="306" t="s">
        <v>1046</v>
      </c>
      <c r="D15" s="315" t="s">
        <v>2150</v>
      </c>
      <c r="E15" s="279" t="s">
        <v>595</v>
      </c>
      <c r="F15" s="279" t="s">
        <v>598</v>
      </c>
      <c r="G15" s="24"/>
    </row>
    <row r="16" spans="1:7" ht="99" customHeight="1">
      <c r="A16" s="309"/>
      <c r="B16" s="295"/>
      <c r="C16" s="307"/>
      <c r="D16" s="316"/>
      <c r="E16" s="280"/>
      <c r="F16" s="280" t="s">
        <v>596</v>
      </c>
      <c r="G16" s="24"/>
    </row>
    <row r="17" spans="1:7" ht="63" customHeight="1">
      <c r="A17" s="309"/>
      <c r="B17" s="296"/>
      <c r="C17" s="308"/>
      <c r="D17" s="317"/>
      <c r="E17" s="276"/>
      <c r="F17" s="276" t="s">
        <v>597</v>
      </c>
      <c r="G17" s="24"/>
    </row>
    <row r="18" spans="1:7" ht="117" customHeight="1">
      <c r="A18" s="309"/>
      <c r="B18" s="294">
        <v>2.02</v>
      </c>
      <c r="C18" s="306" t="s">
        <v>1046</v>
      </c>
      <c r="D18" s="315" t="s">
        <v>2151</v>
      </c>
      <c r="E18" s="279" t="s">
        <v>424</v>
      </c>
      <c r="F18" s="279" t="s">
        <v>508</v>
      </c>
      <c r="G18" s="24"/>
    </row>
    <row r="19" spans="1:7" ht="71.099999999999994" customHeight="1">
      <c r="A19" s="309"/>
      <c r="B19" s="295"/>
      <c r="C19" s="307"/>
      <c r="D19" s="316"/>
      <c r="E19" s="280" t="s">
        <v>512</v>
      </c>
      <c r="F19" s="280" t="s">
        <v>425</v>
      </c>
      <c r="G19" s="24"/>
    </row>
    <row r="20" spans="1:7" ht="90.75" customHeight="1">
      <c r="A20" s="309"/>
      <c r="B20" s="295"/>
      <c r="C20" s="307"/>
      <c r="D20" s="316"/>
      <c r="E20" s="280"/>
      <c r="F20" s="280" t="s">
        <v>600</v>
      </c>
      <c r="G20" s="24"/>
    </row>
    <row r="21" spans="1:7" ht="74.25" customHeight="1">
      <c r="A21" s="309"/>
      <c r="B21" s="296"/>
      <c r="C21" s="308"/>
      <c r="D21" s="317"/>
      <c r="E21" s="276"/>
      <c r="F21" s="276" t="s">
        <v>599</v>
      </c>
      <c r="G21" s="24"/>
    </row>
    <row r="22" spans="1:7" ht="90" customHeight="1">
      <c r="A22" s="309"/>
      <c r="B22" s="300">
        <v>2.0299999999999998</v>
      </c>
      <c r="C22" s="300" t="s">
        <v>783</v>
      </c>
      <c r="D22" s="303" t="s">
        <v>2152</v>
      </c>
      <c r="E22" s="306" t="s">
        <v>422</v>
      </c>
      <c r="F22" s="279" t="s">
        <v>445</v>
      </c>
      <c r="G22" s="24"/>
    </row>
    <row r="23" spans="1:7" ht="109.5" customHeight="1">
      <c r="A23" s="309"/>
      <c r="B23" s="301"/>
      <c r="C23" s="301"/>
      <c r="D23" s="304"/>
      <c r="E23" s="307"/>
      <c r="F23" s="280" t="s">
        <v>784</v>
      </c>
      <c r="G23" s="24"/>
    </row>
    <row r="24" spans="1:7" ht="74.25" customHeight="1">
      <c r="A24" s="309"/>
      <c r="B24" s="302"/>
      <c r="C24" s="302"/>
      <c r="D24" s="305"/>
      <c r="E24" s="308"/>
      <c r="F24" s="276" t="s">
        <v>421</v>
      </c>
      <c r="G24" s="24"/>
    </row>
    <row r="25" spans="1:7" ht="72" customHeight="1">
      <c r="A25" s="309"/>
      <c r="B25" s="275" t="s">
        <v>443</v>
      </c>
      <c r="C25" s="276" t="s">
        <v>444</v>
      </c>
      <c r="D25" s="277" t="s">
        <v>2153</v>
      </c>
      <c r="E25" s="276" t="s">
        <v>2148</v>
      </c>
      <c r="F25" s="276" t="s">
        <v>446</v>
      </c>
      <c r="G25" s="24"/>
    </row>
    <row r="26" spans="1:7" ht="98.1" customHeight="1">
      <c r="A26" s="309"/>
      <c r="B26" s="297">
        <v>3</v>
      </c>
      <c r="C26" s="294" t="s">
        <v>66</v>
      </c>
      <c r="D26" s="315" t="s">
        <v>2154</v>
      </c>
      <c r="E26" s="306" t="s">
        <v>0</v>
      </c>
      <c r="F26" s="279" t="s">
        <v>60</v>
      </c>
      <c r="G26" s="24"/>
    </row>
    <row r="27" spans="1:7" ht="90" customHeight="1">
      <c r="A27" s="309"/>
      <c r="B27" s="298"/>
      <c r="C27" s="295"/>
      <c r="D27" s="316"/>
      <c r="E27" s="307"/>
      <c r="F27" s="280" t="s">
        <v>55</v>
      </c>
      <c r="G27" s="24"/>
    </row>
    <row r="28" spans="1:7" ht="19.350000000000001" customHeight="1">
      <c r="A28" s="309"/>
      <c r="B28" s="298"/>
      <c r="C28" s="295"/>
      <c r="D28" s="316"/>
      <c r="E28" s="307"/>
      <c r="F28" s="280" t="s">
        <v>56</v>
      </c>
      <c r="G28" s="24"/>
    </row>
    <row r="29" spans="1:7" ht="74.45" customHeight="1">
      <c r="A29" s="309"/>
      <c r="B29" s="298"/>
      <c r="C29" s="295"/>
      <c r="D29" s="316"/>
      <c r="E29" s="307"/>
      <c r="F29" s="280" t="s">
        <v>57</v>
      </c>
      <c r="G29" s="24"/>
    </row>
    <row r="30" spans="1:7" ht="62.45" customHeight="1">
      <c r="A30" s="309"/>
      <c r="B30" s="298"/>
      <c r="C30" s="295"/>
      <c r="D30" s="316"/>
      <c r="E30" s="307"/>
      <c r="F30" s="280" t="s">
        <v>58</v>
      </c>
      <c r="G30" s="24"/>
    </row>
    <row r="31" spans="1:7" ht="81" customHeight="1">
      <c r="A31" s="309"/>
      <c r="B31" s="298"/>
      <c r="C31" s="295"/>
      <c r="D31" s="316"/>
      <c r="E31" s="307"/>
      <c r="F31" s="280" t="s">
        <v>59</v>
      </c>
      <c r="G31" s="24"/>
    </row>
    <row r="32" spans="1:7" ht="48.75" customHeight="1">
      <c r="A32" s="309"/>
      <c r="B32" s="298"/>
      <c r="C32" s="295"/>
      <c r="D32" s="316"/>
      <c r="E32" s="307"/>
      <c r="F32" s="280" t="s">
        <v>62</v>
      </c>
      <c r="G32" s="24"/>
    </row>
    <row r="33" spans="1:7" ht="98.45" customHeight="1">
      <c r="A33" s="309"/>
      <c r="B33" s="298"/>
      <c r="C33" s="295"/>
      <c r="D33" s="316"/>
      <c r="E33" s="307"/>
      <c r="F33" s="280" t="s">
        <v>61</v>
      </c>
      <c r="G33" s="24"/>
    </row>
    <row r="34" spans="1:7" ht="89.1" customHeight="1">
      <c r="A34" s="309"/>
      <c r="B34" s="298"/>
      <c r="C34" s="295"/>
      <c r="D34" s="316"/>
      <c r="E34" s="307"/>
      <c r="F34" s="280" t="s">
        <v>63</v>
      </c>
      <c r="G34" s="24"/>
    </row>
    <row r="35" spans="1:7" ht="29.1" customHeight="1">
      <c r="A35" s="309"/>
      <c r="B35" s="298"/>
      <c r="C35" s="295"/>
      <c r="D35" s="316"/>
      <c r="E35" s="307"/>
      <c r="F35" s="280" t="s">
        <v>64</v>
      </c>
      <c r="G35" s="24"/>
    </row>
    <row r="36" spans="1:7" ht="147">
      <c r="A36" s="309"/>
      <c r="B36" s="299"/>
      <c r="C36" s="296"/>
      <c r="D36" s="317"/>
      <c r="E36" s="308"/>
      <c r="F36" s="282" t="s">
        <v>65</v>
      </c>
      <c r="G36" s="24"/>
    </row>
    <row r="37" spans="1:7" ht="157.5">
      <c r="A37" s="309"/>
      <c r="B37" s="281">
        <v>3.01</v>
      </c>
      <c r="C37" s="283" t="s">
        <v>66</v>
      </c>
      <c r="D37" s="277" t="s">
        <v>2155</v>
      </c>
      <c r="E37" s="284" t="s">
        <v>1282</v>
      </c>
      <c r="F37" s="285" t="s">
        <v>1384</v>
      </c>
      <c r="G37" s="24"/>
    </row>
    <row r="38" spans="1:7" ht="146.25">
      <c r="A38" s="309"/>
      <c r="B38" s="281">
        <v>3.02</v>
      </c>
      <c r="C38" s="283" t="s">
        <v>1314</v>
      </c>
      <c r="D38" s="277" t="s">
        <v>2156</v>
      </c>
      <c r="E38" s="284" t="s">
        <v>1329</v>
      </c>
      <c r="F38" s="285" t="s">
        <v>1385</v>
      </c>
      <c r="G38" s="24"/>
    </row>
    <row r="39" spans="1:7" ht="112.5">
      <c r="A39" s="309"/>
      <c r="B39" s="286">
        <v>4</v>
      </c>
      <c r="C39" s="287" t="s">
        <v>1480</v>
      </c>
      <c r="D39" s="277" t="s">
        <v>2157</v>
      </c>
      <c r="E39" s="276" t="s">
        <v>2104</v>
      </c>
      <c r="F39" s="276" t="s">
        <v>1481</v>
      </c>
      <c r="G39" s="24"/>
    </row>
    <row r="40" spans="1:7" ht="67.5">
      <c r="A40" s="309"/>
      <c r="B40" s="281">
        <v>4.01</v>
      </c>
      <c r="C40" s="287" t="s">
        <v>1480</v>
      </c>
      <c r="D40" s="277" t="s">
        <v>2159</v>
      </c>
      <c r="E40" s="276" t="s">
        <v>2116</v>
      </c>
      <c r="F40" s="276" t="s">
        <v>2120</v>
      </c>
      <c r="G40" s="24"/>
    </row>
    <row r="41" spans="1:7" ht="67.5">
      <c r="A41" s="309"/>
      <c r="B41" s="281" t="s">
        <v>2146</v>
      </c>
      <c r="C41" s="287" t="s">
        <v>1480</v>
      </c>
      <c r="D41" s="277" t="s">
        <v>2158</v>
      </c>
      <c r="E41" s="276" t="s">
        <v>2149</v>
      </c>
      <c r="F41" s="276" t="s">
        <v>2147</v>
      </c>
      <c r="G41" s="24"/>
    </row>
    <row r="42" spans="1:7" ht="67.5">
      <c r="A42" s="309"/>
      <c r="B42" s="281" t="s">
        <v>2173</v>
      </c>
      <c r="C42" s="287" t="s">
        <v>1480</v>
      </c>
      <c r="D42" s="277" t="s">
        <v>2178</v>
      </c>
      <c r="E42" s="276" t="s">
        <v>2148</v>
      </c>
      <c r="F42" s="276" t="s">
        <v>2174</v>
      </c>
      <c r="G42" s="24"/>
    </row>
    <row r="43" spans="1:7" ht="191.25">
      <c r="A43" s="309"/>
      <c r="B43" s="288">
        <v>4.0999999999999996</v>
      </c>
      <c r="C43" s="287" t="s">
        <v>2177</v>
      </c>
      <c r="D43" s="289">
        <v>42867</v>
      </c>
      <c r="E43" s="290" t="s">
        <v>2180</v>
      </c>
      <c r="F43" s="276" t="s">
        <v>2179</v>
      </c>
      <c r="G43" s="24"/>
    </row>
    <row r="44" spans="1:7" ht="112.5">
      <c r="A44" s="309"/>
      <c r="B44" s="288">
        <v>4.2</v>
      </c>
      <c r="C44" s="287" t="s">
        <v>2177</v>
      </c>
      <c r="D44" s="289">
        <v>42704</v>
      </c>
      <c r="E44" s="290" t="s">
        <v>2369</v>
      </c>
      <c r="F44" s="276" t="s">
        <v>2344</v>
      </c>
      <c r="G44" s="24"/>
    </row>
    <row r="45" spans="1:7" ht="213.75">
      <c r="A45" s="309"/>
      <c r="B45" s="291">
        <v>5</v>
      </c>
      <c r="C45" s="287" t="s">
        <v>2177</v>
      </c>
      <c r="D45" s="289">
        <v>42867</v>
      </c>
      <c r="E45" s="290" t="s">
        <v>12256</v>
      </c>
      <c r="F45" s="276" t="s">
        <v>11978</v>
      </c>
      <c r="G45" s="24"/>
    </row>
    <row r="46" spans="1:7" ht="56.25">
      <c r="A46" s="309"/>
      <c r="B46" s="288">
        <v>5.01</v>
      </c>
      <c r="C46" s="287" t="s">
        <v>2177</v>
      </c>
      <c r="D46" s="289">
        <v>42907</v>
      </c>
      <c r="E46" s="290" t="s">
        <v>14886</v>
      </c>
      <c r="F46" s="276" t="s">
        <v>11978</v>
      </c>
      <c r="G46" s="24"/>
    </row>
    <row r="47" spans="1:7" ht="101.25">
      <c r="A47" s="309"/>
      <c r="B47" s="288">
        <v>5.0999999999999996</v>
      </c>
      <c r="C47" s="287" t="s">
        <v>2177</v>
      </c>
      <c r="D47" s="289">
        <v>43070</v>
      </c>
      <c r="E47" s="290" t="s">
        <v>12456</v>
      </c>
      <c r="F47" s="276" t="s">
        <v>12457</v>
      </c>
      <c r="G47" s="24"/>
    </row>
    <row r="48" spans="1:7" ht="90">
      <c r="A48" s="309"/>
      <c r="B48" s="288">
        <v>5.1100000000000003</v>
      </c>
      <c r="C48" s="287" t="s">
        <v>12684</v>
      </c>
      <c r="D48" s="289">
        <v>43217</v>
      </c>
      <c r="E48" s="290" t="s">
        <v>12786</v>
      </c>
      <c r="F48" s="276" t="s">
        <v>12711</v>
      </c>
      <c r="G48" s="24"/>
    </row>
    <row r="49" spans="1:7" ht="90">
      <c r="A49" s="309"/>
      <c r="B49" s="288">
        <v>5.12</v>
      </c>
      <c r="C49" s="287" t="s">
        <v>12684</v>
      </c>
      <c r="D49" s="289">
        <v>43581</v>
      </c>
      <c r="E49" s="290" t="s">
        <v>12786</v>
      </c>
      <c r="F49" s="276" t="s">
        <v>13315</v>
      </c>
      <c r="G49" s="24"/>
    </row>
    <row r="50" spans="1:7" ht="112.5">
      <c r="A50" s="309"/>
      <c r="B50" s="291">
        <v>6</v>
      </c>
      <c r="C50" s="287" t="s">
        <v>12684</v>
      </c>
      <c r="D50" s="289">
        <v>43964</v>
      </c>
      <c r="E50" s="290" t="s">
        <v>13527</v>
      </c>
      <c r="F50" s="276" t="s">
        <v>13318</v>
      </c>
      <c r="G50" s="24"/>
    </row>
    <row r="51" spans="1:7" ht="56.25">
      <c r="A51" s="309"/>
      <c r="B51" s="288">
        <v>6.01</v>
      </c>
      <c r="C51" s="287" t="s">
        <v>12684</v>
      </c>
      <c r="D51" s="289">
        <v>43970</v>
      </c>
      <c r="E51" s="290" t="s">
        <v>14887</v>
      </c>
      <c r="F51" s="290" t="s">
        <v>13318</v>
      </c>
      <c r="G51" s="24"/>
    </row>
    <row r="52" spans="1:7" ht="56.25">
      <c r="A52" s="309"/>
      <c r="B52" s="288">
        <v>6.1</v>
      </c>
      <c r="C52" s="287" t="s">
        <v>12684</v>
      </c>
      <c r="D52" s="289">
        <v>44314</v>
      </c>
      <c r="E52" s="290" t="s">
        <v>14880</v>
      </c>
      <c r="F52" s="290" t="s">
        <v>14487</v>
      </c>
      <c r="G52" s="24"/>
    </row>
    <row r="53" spans="1:7" ht="56.25">
      <c r="A53" s="309"/>
      <c r="B53" s="288">
        <v>6.2</v>
      </c>
      <c r="C53" s="287" t="s">
        <v>12684</v>
      </c>
      <c r="D53" s="289">
        <v>44678</v>
      </c>
      <c r="E53" s="290" t="s">
        <v>14880</v>
      </c>
      <c r="F53" s="290" t="s">
        <v>14879</v>
      </c>
      <c r="G53" s="24"/>
    </row>
    <row r="54" spans="1:7" ht="56.25">
      <c r="A54" s="309"/>
      <c r="B54" s="288">
        <v>6.21</v>
      </c>
      <c r="C54" s="287" t="s">
        <v>12684</v>
      </c>
      <c r="D54" s="289">
        <v>44687</v>
      </c>
      <c r="E54" s="290" t="s">
        <v>14888</v>
      </c>
      <c r="F54" s="290" t="s">
        <v>14879</v>
      </c>
      <c r="G54" s="24"/>
    </row>
    <row r="55" spans="1:7" ht="56.25">
      <c r="A55" s="309"/>
      <c r="B55" s="288">
        <v>6.22</v>
      </c>
      <c r="C55" s="287" t="s">
        <v>12684</v>
      </c>
      <c r="D55" s="292">
        <v>44692</v>
      </c>
      <c r="E55" s="290" t="s">
        <v>14887</v>
      </c>
      <c r="F55" s="290" t="s">
        <v>14879</v>
      </c>
      <c r="G55" s="24"/>
    </row>
    <row r="56" spans="1:7" ht="90">
      <c r="A56" s="309"/>
      <c r="B56" s="291">
        <v>6.3</v>
      </c>
      <c r="C56" s="287" t="s">
        <v>12684</v>
      </c>
      <c r="D56" s="292">
        <v>45051</v>
      </c>
      <c r="E56" s="290" t="s">
        <v>15144</v>
      </c>
      <c r="F56" s="290" t="s">
        <v>14925</v>
      </c>
      <c r="G56" s="24"/>
    </row>
    <row r="57" spans="1:7" ht="56.25">
      <c r="A57" s="309"/>
      <c r="B57" s="288">
        <v>6.31</v>
      </c>
      <c r="C57" s="287" t="s">
        <v>12684</v>
      </c>
      <c r="D57" s="292">
        <v>45072</v>
      </c>
      <c r="E57" s="290" t="s">
        <v>15146</v>
      </c>
      <c r="F57" s="290" t="s">
        <v>14925</v>
      </c>
      <c r="G57" s="24"/>
    </row>
    <row r="58" spans="1:7" ht="56.25">
      <c r="A58" s="309"/>
      <c r="B58" s="291">
        <v>6.4</v>
      </c>
      <c r="C58" s="287" t="s">
        <v>12684</v>
      </c>
      <c r="D58" s="292">
        <v>45408</v>
      </c>
      <c r="E58" s="290" t="s">
        <v>15148</v>
      </c>
      <c r="F58" s="290" t="s">
        <v>15147</v>
      </c>
      <c r="G58" s="24"/>
    </row>
    <row r="59" spans="1:7" ht="56.25">
      <c r="A59" s="309"/>
      <c r="B59" s="291">
        <v>6.5</v>
      </c>
      <c r="C59" s="287" t="s">
        <v>12684</v>
      </c>
      <c r="D59" s="292">
        <v>45772</v>
      </c>
      <c r="E59" s="290" t="s">
        <v>15217</v>
      </c>
      <c r="F59" s="290" t="s">
        <v>15259</v>
      </c>
      <c r="G59" s="24"/>
    </row>
    <row r="60" spans="1:7" ht="90">
      <c r="A60" s="309"/>
      <c r="B60" s="291">
        <v>6.6</v>
      </c>
      <c r="C60" s="287" t="s">
        <v>12684</v>
      </c>
      <c r="D60" s="292">
        <v>46129</v>
      </c>
      <c r="E60" s="290" t="s">
        <v>15870</v>
      </c>
      <c r="F60" s="293" t="s">
        <v>15352</v>
      </c>
      <c r="G60" s="24"/>
    </row>
    <row r="61" spans="1:7" ht="13.5" thickBot="1">
      <c r="A61" s="310"/>
      <c r="B61" s="311" t="str">
        <f ca="1">OFFSET(L!$C$1,MATCH("General"&amp;"Cpy",L!$A:$A,0)-1,SL,,)</f>
        <v>© 2026 Responsible Minerals Initiative. All rights reserved.</v>
      </c>
      <c r="C61" s="311"/>
      <c r="D61" s="311"/>
      <c r="E61" s="311"/>
      <c r="F61" s="311"/>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8"/>
      <c r="B1" s="359"/>
      <c r="C1" s="359"/>
      <c r="D1" s="359"/>
      <c r="E1" s="359"/>
      <c r="F1" s="359"/>
      <c r="G1" s="359"/>
      <c r="H1" s="359"/>
      <c r="I1" s="359"/>
      <c r="J1" s="359"/>
      <c r="K1" s="360"/>
      <c r="L1" s="97"/>
      <c r="P1" s="2"/>
      <c r="Q1" s="2"/>
      <c r="R1" s="2"/>
      <c r="S1" s="2"/>
      <c r="T1" s="2"/>
      <c r="U1" s="2"/>
      <c r="V1" s="2"/>
      <c r="W1" s="2"/>
      <c r="X1" s="2"/>
      <c r="Y1" s="2"/>
      <c r="Z1" s="2"/>
      <c r="AA1" s="2"/>
      <c r="AB1" s="2"/>
      <c r="AC1" s="2"/>
      <c r="AD1" s="2"/>
      <c r="AE1" s="2"/>
      <c r="AF1" s="2"/>
      <c r="AG1" s="2"/>
      <c r="AH1" s="2"/>
    </row>
    <row r="2" spans="1:34" ht="82.35" customHeight="1">
      <c r="A2" s="31"/>
      <c r="B2" s="133"/>
      <c r="C2" s="32"/>
      <c r="D2" s="361" t="str">
        <f ca="1">OFFSET(L!$C$1,MATCH("Declaration"&amp;ADDRESS(ROW(),COLUMN(),4),L!$A:$A,0)-1,SL,,)</f>
        <v>Conflict Minerals Reporting Template (CMRT)</v>
      </c>
      <c r="E2" s="362"/>
      <c r="F2" s="362"/>
      <c r="G2" s="362"/>
      <c r="H2" s="362"/>
      <c r="I2" s="362"/>
      <c r="J2" s="36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71"/>
      <c r="G3" s="371"/>
      <c r="H3" s="371"/>
      <c r="I3" s="145"/>
      <c r="J3" s="135" t="s">
        <v>15370</v>
      </c>
      <c r="K3" s="33"/>
      <c r="L3" s="97"/>
      <c r="P3" s="42">
        <f>MATCH($D$3,LN,0)</f>
        <v>1</v>
      </c>
    </row>
    <row r="4" spans="1:34" ht="15.75">
      <c r="A4" s="31"/>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76" t="str">
        <f ca="1">OFFSET(L!$C$1,MATCH("Declaration"&amp;ADDRESS(ROW(),COLUMN(),4),L!$A:$A,0)-1,SL,,)</f>
        <v>Company Information</v>
      </c>
      <c r="C7" s="376"/>
      <c r="D7" s="376"/>
      <c r="E7" s="376"/>
      <c r="F7" s="376"/>
      <c r="G7" s="376"/>
      <c r="H7" s="376"/>
      <c r="I7" s="376"/>
      <c r="J7" s="376"/>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64" t="s">
        <v>15879</v>
      </c>
      <c r="E8" s="365"/>
      <c r="F8" s="365"/>
      <c r="G8" s="365"/>
      <c r="H8" s="365"/>
      <c r="I8" s="365"/>
      <c r="J8" s="366"/>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73" t="s">
        <v>479</v>
      </c>
      <c r="E9" s="374"/>
      <c r="F9" s="374"/>
      <c r="G9" s="37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77" t="str">
        <f ca="1">OFFSET(L!$C$1,MATCH("Declaration"&amp;ADDRESS(ROW(),COLUMN(),4)&amp;LEFT($D$9,1),L!$A:$A,0)-1,SL,,)</f>
        <v>Description of Scope:</v>
      </c>
      <c r="C10" s="119"/>
      <c r="D10" s="368" t="s">
        <v>15880</v>
      </c>
      <c r="E10" s="369"/>
      <c r="F10" s="369"/>
      <c r="G10" s="369"/>
      <c r="H10" s="369"/>
      <c r="I10" s="369"/>
      <c r="J10" s="370"/>
      <c r="K10" s="33"/>
      <c r="L10" s="112"/>
      <c r="Q10" s="2"/>
      <c r="R10" s="2"/>
      <c r="S10" s="2"/>
      <c r="T10" s="2"/>
      <c r="U10" s="2"/>
      <c r="V10" s="2"/>
      <c r="W10" s="2"/>
      <c r="X10" s="2"/>
      <c r="Y10" s="2"/>
      <c r="Z10" s="2"/>
      <c r="AA10" s="2"/>
      <c r="AB10" s="2"/>
      <c r="AC10" s="2"/>
      <c r="AD10" s="2"/>
      <c r="AE10" s="2"/>
      <c r="AF10" s="2"/>
      <c r="AG10" s="2"/>
      <c r="AH10" s="2"/>
    </row>
    <row r="11" spans="1:34" ht="15.75">
      <c r="A11" s="35"/>
      <c r="B11" s="378"/>
      <c r="C11" s="119"/>
      <c r="D11" s="343" t="str">
        <f ca="1">IF(D9=Q9,OFFSET(L!$C$1,MATCH("Declaration"&amp;ADDRESS(ROW(),COLUMN(),4),L!$A:$A,0)-1,SL,,),"")</f>
        <v/>
      </c>
      <c r="E11" s="344"/>
      <c r="F11" s="344"/>
      <c r="G11" s="344"/>
      <c r="H11" s="344"/>
      <c r="I11" s="344"/>
      <c r="J11" s="345"/>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1" t="s">
        <v>15881</v>
      </c>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1" t="s">
        <v>15882</v>
      </c>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1" t="s">
        <v>15883</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1" t="s">
        <v>15884</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79" t="s">
        <v>15885</v>
      </c>
      <c r="E16" s="380"/>
      <c r="F16" s="380"/>
      <c r="G16" s="380"/>
      <c r="H16" s="380"/>
      <c r="I16" s="380"/>
      <c r="J16" s="381"/>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1" t="s">
        <v>15886</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24" t="s">
        <v>15884</v>
      </c>
      <c r="E18" s="325"/>
      <c r="F18" s="325"/>
      <c r="G18" s="325"/>
      <c r="H18" s="325"/>
      <c r="I18" s="325"/>
      <c r="J18" s="32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1" t="s">
        <v>15887</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79" t="s">
        <v>15885</v>
      </c>
      <c r="E20" s="380"/>
      <c r="F20" s="380"/>
      <c r="G20" s="380"/>
      <c r="H20" s="380"/>
      <c r="I20" s="380"/>
      <c r="J20" s="381"/>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82" t="s">
        <v>15886</v>
      </c>
      <c r="E21" s="383"/>
      <c r="F21" s="383"/>
      <c r="G21" s="383"/>
      <c r="H21" s="383"/>
      <c r="I21" s="383"/>
      <c r="J21" s="384"/>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85">
        <v>46143</v>
      </c>
      <c r="E22" s="38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54"/>
      <c r="E23" s="35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87" t="str">
        <f ca="1">OFFSET(L!$C$1,MATCH("Declaration"&amp;ADDRESS(ROW(),COLUMN(),4),L!$A:$A,0)-1,SL,,)</f>
        <v>Answer the following questions 1 - 8 based on the declaration scope indicated above</v>
      </c>
      <c r="C24" s="387"/>
      <c r="D24" s="387"/>
      <c r="E24" s="387"/>
      <c r="F24" s="387"/>
      <c r="G24" s="387"/>
      <c r="H24" s="387"/>
      <c r="I24" s="387"/>
      <c r="J24" s="38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4" t="str">
        <f ca="1">OFFSET(L!$C$1,MATCH("Declaration"&amp;ADDRESS(ROW(),COLUMN(),4),L!$A:$A,0)-1,SL,,)</f>
        <v>Answer</v>
      </c>
      <c r="E25" s="33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27" t="s">
        <v>474</v>
      </c>
      <c r="E26" s="328"/>
      <c r="F26" s="11"/>
      <c r="G26" s="329"/>
      <c r="H26" s="330"/>
      <c r="I26" s="330"/>
      <c r="J26" s="331"/>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327" t="s">
        <v>473</v>
      </c>
      <c r="E27" s="328"/>
      <c r="F27" s="11"/>
      <c r="G27" s="329" t="s">
        <v>15888</v>
      </c>
      <c r="H27" s="330"/>
      <c r="I27" s="330"/>
      <c r="J27" s="331"/>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327" t="s">
        <v>474</v>
      </c>
      <c r="E28" s="328"/>
      <c r="F28" s="11"/>
      <c r="G28" s="329"/>
      <c r="H28" s="330"/>
      <c r="I28" s="330"/>
      <c r="J28" s="331"/>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Tungsten  (*)</v>
      </c>
      <c r="C29" s="32"/>
      <c r="D29" s="327" t="s">
        <v>473</v>
      </c>
      <c r="E29" s="328"/>
      <c r="F29" s="11"/>
      <c r="G29" s="329" t="s">
        <v>15889</v>
      </c>
      <c r="H29" s="330"/>
      <c r="I29" s="330"/>
      <c r="J29" s="331"/>
      <c r="K29" s="33"/>
      <c r="L29" s="113"/>
      <c r="P29" s="42" t="str">
        <f>IF(D$29="No","","(*)")</f>
        <v>(*)</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6" t="str">
        <f ca="1">D25</f>
        <v>Answer</v>
      </c>
      <c r="E31" s="336"/>
      <c r="F31" s="17"/>
      <c r="G31" s="41" t="str">
        <f ca="1">G25</f>
        <v>Comments</v>
      </c>
      <c r="H31" s="41"/>
      <c r="I31" s="41"/>
      <c r="J31" s="80"/>
      <c r="K31" s="33"/>
      <c r="L31" s="108" t="s">
        <v>1197</v>
      </c>
      <c r="P31" s="42">
        <f>COUNTIF(D$26:D$29,"No")</f>
        <v>2</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46"/>
      <c r="E32" s="347"/>
      <c r="F32" s="44"/>
      <c r="G32" s="329"/>
      <c r="H32" s="330"/>
      <c r="I32" s="330"/>
      <c r="J32" s="331"/>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327" t="s">
        <v>473</v>
      </c>
      <c r="E33" s="328"/>
      <c r="F33" s="44"/>
      <c r="G33" s="329" t="s">
        <v>15890</v>
      </c>
      <c r="H33" s="330"/>
      <c r="I33" s="330"/>
      <c r="J33" s="331"/>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327"/>
      <c r="E34" s="328"/>
      <c r="F34" s="44"/>
      <c r="G34" s="329"/>
      <c r="H34" s="330"/>
      <c r="I34" s="330"/>
      <c r="J34" s="331"/>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Tungsten  (*)</v>
      </c>
      <c r="C35" s="9"/>
      <c r="D35" s="327" t="s">
        <v>473</v>
      </c>
      <c r="E35" s="328"/>
      <c r="F35" s="44"/>
      <c r="G35" s="329" t="s">
        <v>15891</v>
      </c>
      <c r="H35" s="330"/>
      <c r="I35" s="330"/>
      <c r="J35" s="331"/>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6" t="str">
        <f ca="1">D25</f>
        <v>Answer</v>
      </c>
      <c r="E37" s="336"/>
      <c r="F37" s="17"/>
      <c r="G37" s="41" t="str">
        <f ca="1">G25</f>
        <v>Comments</v>
      </c>
      <c r="H37" s="350"/>
      <c r="I37" s="350"/>
      <c r="J37" s="350"/>
      <c r="K37" s="33"/>
      <c r="L37" s="108" t="s">
        <v>1197</v>
      </c>
      <c r="P37" s="42">
        <f>COUNTIF(D$26:D$29,"No")+COUNTIF(D$32:D$35,"No")</f>
        <v>2</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27"/>
      <c r="E38" s="328"/>
      <c r="F38" s="44"/>
      <c r="G38" s="329"/>
      <c r="H38" s="330"/>
      <c r="I38" s="330"/>
      <c r="J38" s="331"/>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327" t="s">
        <v>475</v>
      </c>
      <c r="E39" s="328"/>
      <c r="F39" s="44"/>
      <c r="G39" s="329" t="s">
        <v>15892</v>
      </c>
      <c r="H39" s="330"/>
      <c r="I39" s="330"/>
      <c r="J39" s="331"/>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327"/>
      <c r="E40" s="328"/>
      <c r="F40" s="44"/>
      <c r="G40" s="329"/>
      <c r="H40" s="330"/>
      <c r="I40" s="330"/>
      <c r="J40" s="331"/>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Tungsten  (*)</v>
      </c>
      <c r="C41" s="9"/>
      <c r="D41" s="327" t="s">
        <v>475</v>
      </c>
      <c r="E41" s="328"/>
      <c r="F41" s="44"/>
      <c r="G41" s="329"/>
      <c r="H41" s="330"/>
      <c r="I41" s="330"/>
      <c r="J41" s="331"/>
      <c r="K41" s="33"/>
      <c r="L41" s="113"/>
      <c r="P41" s="42" t="str">
        <f>IF((OR(D$29="No",D$35="No")),"","(*)")</f>
        <v>(*)</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6" t="str">
        <f ca="1">D25</f>
        <v>Answer</v>
      </c>
      <c r="E43" s="336"/>
      <c r="F43" s="17"/>
      <c r="G43" s="41" t="str">
        <f ca="1">G25</f>
        <v>Comments</v>
      </c>
      <c r="H43" s="41"/>
      <c r="I43" s="41"/>
      <c r="J43" s="80"/>
      <c r="K43" s="33"/>
      <c r="L43" s="108"/>
      <c r="P43" s="42">
        <f>COUNTIF(D$26:D$29,"No")+COUNTIF(D$32:D$35,"No")</f>
        <v>2</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7"/>
      <c r="E44" s="328"/>
      <c r="F44" s="44"/>
      <c r="G44" s="329"/>
      <c r="H44" s="330"/>
      <c r="I44" s="330"/>
      <c r="J44" s="331"/>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27" t="s">
        <v>474</v>
      </c>
      <c r="E45" s="328"/>
      <c r="F45" s="44"/>
      <c r="G45" s="329" t="s">
        <v>15893</v>
      </c>
      <c r="H45" s="330"/>
      <c r="I45" s="330"/>
      <c r="J45" s="331"/>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327"/>
      <c r="E46" s="328"/>
      <c r="F46" s="44"/>
      <c r="G46" s="329"/>
      <c r="H46" s="330"/>
      <c r="I46" s="330"/>
      <c r="J46" s="331"/>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Tungsten  (*)</v>
      </c>
      <c r="C47" s="9"/>
      <c r="D47" s="327" t="s">
        <v>474</v>
      </c>
      <c r="E47" s="328"/>
      <c r="F47" s="44"/>
      <c r="G47" s="329" t="s">
        <v>15893</v>
      </c>
      <c r="H47" s="330"/>
      <c r="I47" s="330"/>
      <c r="J47" s="331"/>
      <c r="K47" s="33"/>
      <c r="L47" s="108"/>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6" t="str">
        <f ca="1">D25</f>
        <v>Answer</v>
      </c>
      <c r="E49" s="33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27"/>
      <c r="E50" s="328"/>
      <c r="F50" s="44"/>
      <c r="G50" s="329"/>
      <c r="H50" s="330"/>
      <c r="I50" s="330"/>
      <c r="J50" s="331"/>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327" t="s">
        <v>473</v>
      </c>
      <c r="E51" s="328"/>
      <c r="F51" s="44"/>
      <c r="G51" s="329" t="s">
        <v>15894</v>
      </c>
      <c r="H51" s="330"/>
      <c r="I51" s="330"/>
      <c r="J51" s="331"/>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327"/>
      <c r="E52" s="328"/>
      <c r="F52" s="44"/>
      <c r="G52" s="329"/>
      <c r="H52" s="330"/>
      <c r="I52" s="330"/>
      <c r="J52" s="331"/>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Tungsten  (*)</v>
      </c>
      <c r="C53" s="9"/>
      <c r="D53" s="327" t="s">
        <v>473</v>
      </c>
      <c r="E53" s="328"/>
      <c r="F53" s="44"/>
      <c r="G53" s="329" t="s">
        <v>15894</v>
      </c>
      <c r="H53" s="330"/>
      <c r="I53" s="330"/>
      <c r="J53" s="331"/>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36" t="str">
        <f ca="1">D25</f>
        <v>Answer</v>
      </c>
      <c r="E55" s="33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48"/>
      <c r="E56" s="349"/>
      <c r="F56" s="44"/>
      <c r="G56" s="329"/>
      <c r="H56" s="330"/>
      <c r="I56" s="330"/>
      <c r="J56" s="331"/>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48" t="s">
        <v>2373</v>
      </c>
      <c r="E57" s="349"/>
      <c r="F57" s="44"/>
      <c r="G57" s="329"/>
      <c r="H57" s="330"/>
      <c r="I57" s="330"/>
      <c r="J57" s="331"/>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48"/>
      <c r="E58" s="349"/>
      <c r="F58" s="44"/>
      <c r="G58" s="329"/>
      <c r="H58" s="330"/>
      <c r="I58" s="330"/>
      <c r="J58" s="331"/>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Tungsten  (*)</v>
      </c>
      <c r="C59" s="32"/>
      <c r="D59" s="348" t="s">
        <v>2373</v>
      </c>
      <c r="E59" s="349"/>
      <c r="F59" s="44"/>
      <c r="G59" s="329"/>
      <c r="H59" s="330"/>
      <c r="I59" s="330"/>
      <c r="J59" s="331"/>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36" t="str">
        <f ca="1">D25</f>
        <v>Answer</v>
      </c>
      <c r="E61" s="336"/>
      <c r="F61" s="17"/>
      <c r="G61" s="41" t="str">
        <f ca="1">G25</f>
        <v>Comments</v>
      </c>
      <c r="H61" s="333"/>
      <c r="I61" s="333"/>
      <c r="J61" s="33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46"/>
      <c r="E62" s="347"/>
      <c r="F62" s="44"/>
      <c r="G62" s="329"/>
      <c r="H62" s="330"/>
      <c r="I62" s="330"/>
      <c r="J62" s="331"/>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327" t="s">
        <v>473</v>
      </c>
      <c r="E63" s="328"/>
      <c r="F63" s="44"/>
      <c r="G63" s="329" t="s">
        <v>15895</v>
      </c>
      <c r="H63" s="330"/>
      <c r="I63" s="330"/>
      <c r="J63" s="331"/>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327"/>
      <c r="E64" s="328"/>
      <c r="F64" s="44"/>
      <c r="G64" s="329"/>
      <c r="H64" s="330"/>
      <c r="I64" s="330"/>
      <c r="J64" s="331"/>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Tungsten  (*)</v>
      </c>
      <c r="C65" s="9"/>
      <c r="D65" s="327" t="s">
        <v>473</v>
      </c>
      <c r="E65" s="328"/>
      <c r="F65" s="44"/>
      <c r="G65" s="329" t="s">
        <v>15895</v>
      </c>
      <c r="H65" s="330"/>
      <c r="I65" s="330"/>
      <c r="J65" s="331"/>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6" t="str">
        <f ca="1">D25</f>
        <v>Answer</v>
      </c>
      <c r="E67" s="336"/>
      <c r="F67" s="17"/>
      <c r="G67" s="41" t="str">
        <f ca="1">G25</f>
        <v>Comments</v>
      </c>
      <c r="H67" s="333" t="str">
        <f>IF(Q75="(*)","Click here to enter smelter names","")</f>
        <v/>
      </c>
      <c r="I67" s="333"/>
      <c r="J67" s="33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27"/>
      <c r="E68" s="328"/>
      <c r="F68" s="45"/>
      <c r="G68" s="329"/>
      <c r="H68" s="330"/>
      <c r="I68" s="330"/>
      <c r="J68" s="331"/>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327" t="s">
        <v>473</v>
      </c>
      <c r="E69" s="328"/>
      <c r="F69" s="45"/>
      <c r="G69" s="329" t="s">
        <v>15896</v>
      </c>
      <c r="H69" s="330"/>
      <c r="I69" s="330"/>
      <c r="J69" s="331"/>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327"/>
      <c r="E70" s="328"/>
      <c r="F70" s="45"/>
      <c r="G70" s="329"/>
      <c r="H70" s="330"/>
      <c r="I70" s="330"/>
      <c r="J70" s="331"/>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Tungsten  (*)</v>
      </c>
      <c r="C71" s="46"/>
      <c r="D71" s="327" t="s">
        <v>473</v>
      </c>
      <c r="E71" s="328"/>
      <c r="F71" s="47"/>
      <c r="G71" s="329" t="s">
        <v>15897</v>
      </c>
      <c r="H71" s="330"/>
      <c r="I71" s="330"/>
      <c r="J71" s="33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32" t="str">
        <f ca="1">OFFSET(L!$C$1,MATCH("Declaration"&amp;ADDRESS(ROW(),COLUMN(),4),L!$A:$A,0)-1,SL,,)</f>
        <v>Answer the Following Questions at a Company Level</v>
      </c>
      <c r="C73" s="332"/>
      <c r="D73" s="332"/>
      <c r="E73" s="332"/>
      <c r="F73" s="332"/>
      <c r="G73" s="332"/>
      <c r="H73" s="332"/>
      <c r="I73" s="332"/>
      <c r="J73" s="332"/>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4" t="str">
        <f ca="1">D25</f>
        <v>Answer</v>
      </c>
      <c r="E74" s="334"/>
      <c r="F74" s="50"/>
      <c r="G74" s="334" t="str">
        <f ca="1">G25</f>
        <v>Comments</v>
      </c>
      <c r="H74" s="334" t="e">
        <f>HLOOKUP(SL,LT,$O74,0)</f>
        <v>#NAME?</v>
      </c>
      <c r="I74" s="33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7" t="s">
        <v>474</v>
      </c>
      <c r="E75" s="328"/>
      <c r="F75" s="54"/>
      <c r="G75" s="329"/>
      <c r="H75" s="330"/>
      <c r="I75" s="330"/>
      <c r="J75" s="331"/>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35"/>
      <c r="H76" s="335"/>
      <c r="I76" s="335"/>
      <c r="J76" s="33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474</v>
      </c>
      <c r="E77" s="328"/>
      <c r="F77" s="54"/>
      <c r="G77" s="355"/>
      <c r="H77" s="356"/>
      <c r="I77" s="356"/>
      <c r="J77" s="357"/>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474</v>
      </c>
      <c r="E79" s="328"/>
      <c r="F79" s="54"/>
      <c r="G79" s="329"/>
      <c r="H79" s="330"/>
      <c r="I79" s="330"/>
      <c r="J79" s="331"/>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474</v>
      </c>
      <c r="E81" s="328"/>
      <c r="F81" s="54"/>
      <c r="G81" s="329"/>
      <c r="H81" s="330"/>
      <c r="I81" s="330"/>
      <c r="J81" s="331"/>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474</v>
      </c>
      <c r="E83" s="328"/>
      <c r="F83" s="54"/>
      <c r="G83" s="329"/>
      <c r="H83" s="330"/>
      <c r="I83" s="330"/>
      <c r="J83" s="33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40" t="s">
        <v>474</v>
      </c>
      <c r="E85" s="341"/>
      <c r="F85" s="54"/>
      <c r="G85" s="329"/>
      <c r="H85" s="330"/>
      <c r="I85" s="330"/>
      <c r="J85" s="331"/>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35"/>
      <c r="H86" s="335"/>
      <c r="I86" s="335"/>
      <c r="J86" s="33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27" t="s">
        <v>474</v>
      </c>
      <c r="E87" s="328"/>
      <c r="F87" s="54"/>
      <c r="G87" s="329"/>
      <c r="H87" s="330"/>
      <c r="I87" s="330"/>
      <c r="J87" s="331"/>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42"/>
      <c r="H88" s="342"/>
      <c r="I88" s="342"/>
      <c r="J88" s="34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27" t="s">
        <v>474</v>
      </c>
      <c r="E89" s="328"/>
      <c r="F89" s="54"/>
      <c r="G89" s="329"/>
      <c r="H89" s="330"/>
      <c r="I89" s="330"/>
      <c r="J89" s="33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39" t="str">
        <f>IF(OR($D$8="",$I$3=""),"","Click here to check required fields completion")</f>
        <v/>
      </c>
      <c r="C90" s="339"/>
      <c r="D90" s="339"/>
      <c r="E90" s="339"/>
      <c r="F90" s="339"/>
      <c r="G90" s="339"/>
      <c r="H90" s="339"/>
      <c r="I90" s="339"/>
      <c r="J90" s="339"/>
      <c r="K90" s="33"/>
      <c r="L90" s="97"/>
      <c r="P90" s="2"/>
      <c r="Q90" s="2"/>
      <c r="R90" s="2"/>
      <c r="S90" s="2"/>
      <c r="T90" s="2"/>
      <c r="U90" s="2"/>
      <c r="V90" s="2"/>
      <c r="W90" s="2"/>
      <c r="X90" s="2"/>
      <c r="Y90" s="2"/>
      <c r="Z90" s="2"/>
      <c r="AA90" s="2"/>
      <c r="AB90" s="2"/>
      <c r="AC90" s="2"/>
      <c r="AD90" s="2"/>
      <c r="AE90" s="2"/>
      <c r="AF90" s="2"/>
      <c r="AG90" s="2"/>
      <c r="AH90" s="2"/>
    </row>
    <row r="91" spans="1:34" ht="15.75" thickBot="1">
      <c r="A91" s="337" t="str">
        <f ca="1">OFFSET(L!$C$1,MATCH("General"&amp;"Cpy",L!$A:$A,0)-1,SL,,)</f>
        <v>© 2026 Responsible Minerals Initiative. All rights reserved.</v>
      </c>
      <c r="B91" s="338"/>
      <c r="C91" s="338"/>
      <c r="D91" s="338"/>
      <c r="E91" s="338"/>
      <c r="F91" s="338"/>
      <c r="G91" s="338"/>
      <c r="H91" s="338"/>
      <c r="I91" s="338"/>
      <c r="J91" s="33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
      </c>
    </row>
    <row r="101" spans="2:7" ht="15.75" hidden="1">
      <c r="B101" s="219" t="s">
        <v>2371</v>
      </c>
      <c r="D101" s="264" t="str">
        <f>IF(AND(OR($D$27="Yes",$D$27=""),OR($D$33="Yes",$D$33="")),"Unknown","")</f>
        <v>Unknown</v>
      </c>
      <c r="E101" s="264" t="str">
        <f>IF(AND(OR($D$26="Yes",$D$26=""),OR($D$32="Yes",$D$32="")),"None","")</f>
        <v/>
      </c>
      <c r="G101" s="264" t="str">
        <f>IF(OR($D$28="Yes",$D$28=""),"No","")</f>
        <v/>
      </c>
    </row>
    <row r="102" spans="2:7" ht="15.75" hidden="1">
      <c r="B102" s="219" t="s">
        <v>2372</v>
      </c>
      <c r="D102" s="264" t="str">
        <f>IF(AND(OR($D$28="Yes",$D$28=""),OR($D$34="Yes",$D$34="")),"Yes","")</f>
        <v/>
      </c>
      <c r="E102" s="264" t="str">
        <f>IF(AND(OR($D$27="Yes",$D$27=""),OR($D$33="Yes",$D$33="")),"100%","")</f>
        <v>100%</v>
      </c>
      <c r="G102" s="264" t="str">
        <f>IF(OR($D$29="Yes",$D$29=""),"Yes","")</f>
        <v>Yes</v>
      </c>
    </row>
    <row r="103" spans="2:7" ht="15.75" hidden="1">
      <c r="B103" s="219" t="s">
        <v>2373</v>
      </c>
      <c r="D103" s="264" t="str">
        <f>IF(AND(OR($D$28="Yes",$D$28=""),OR($D$34="Yes",$D$34="")),"No","")</f>
        <v/>
      </c>
      <c r="E103" s="264" t="str">
        <f>IF(AND(OR($D$27="Yes",$D$27=""),OR($D$33="Yes",$D$33="")),"Greater than 90%","")</f>
        <v>Greater than 90%</v>
      </c>
      <c r="G103" s="264" t="str">
        <f>IF(OR($D$29="Yes",$D$29=""),"No","")</f>
        <v>No</v>
      </c>
    </row>
    <row r="104" spans="2:7" ht="15.75" hidden="1">
      <c r="B104" s="219" t="s">
        <v>476</v>
      </c>
      <c r="D104" s="264" t="str">
        <f>IF(AND(OR($D$28="Yes",$D$28=""),OR($D$34="Yes",$D$34="")),"Unknown","")</f>
        <v/>
      </c>
      <c r="E104" s="264" t="str">
        <f>IF(AND(OR($D$27="Yes",$D$27=""),OR($D$33="Yes",$D$33="")),"Greater than 75%","")</f>
        <v>Greater than 75%</v>
      </c>
    </row>
    <row r="105" spans="2:7" ht="15.75" hidden="1">
      <c r="B105" s="219" t="s">
        <v>14427</v>
      </c>
      <c r="D105" s="264" t="str">
        <f>IF(AND(OR($D$29="Yes",$D$29=""),OR($D$35="Yes",$D$35="")),"Yes","")</f>
        <v>Yes</v>
      </c>
      <c r="E105" s="264" t="str">
        <f>IF(AND(OR($D$27="Yes",$D$27=""),OR($D$33="Yes",$D$33="")),"Greater than 50%","")</f>
        <v>Greater than 50%</v>
      </c>
    </row>
    <row r="106" spans="2:7" ht="15.75" hidden="1">
      <c r="B106" s="219" t="s">
        <v>11949</v>
      </c>
      <c r="D106" s="264" t="str">
        <f>IF(AND(OR($D$29="Yes",$D$29=""),OR($D$35="Yes",$D$35="")),"No","")</f>
        <v>No</v>
      </c>
      <c r="E106" s="264" t="str">
        <f>IF(AND(OR($D$27="Yes",$D$27=""),OR($D$33="Yes",$D$33="")),"50% or less","")</f>
        <v>50% or less</v>
      </c>
    </row>
    <row r="107" spans="2:7" ht="15.75" hidden="1">
      <c r="B107" s="219" t="s">
        <v>474</v>
      </c>
      <c r="D107" s="264" t="str">
        <f>IF(AND(OR($D$29="Yes",$D$29=""),OR($D$35="Yes",$D$35="")),"Unknown","")</f>
        <v>Unknown</v>
      </c>
      <c r="E107" s="264" t="str">
        <f>IF(AND(OR($D$27="Yes",$D$27=""),OR($D$33="Yes",$D$33="")),"None","")</f>
        <v>None</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C10" sqref="C10"/>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c r="B5" s="166" t="s">
        <v>1088</v>
      </c>
      <c r="C5" s="170" t="s">
        <v>992</v>
      </c>
      <c r="D5" s="213"/>
      <c r="E5" s="166" t="str">
        <f ca="1">IF(ISERROR($V5),"",OFFSET('Smelter Look-up'!$D$4,$V5-4,0)&amp;"")</f>
        <v>PERU</v>
      </c>
      <c r="F5" s="166" t="str">
        <f ca="1">IF(ISERROR($V5),"",OFFSET('Smelter Look-up'!$E$4,$V5-4,0))</f>
        <v>CID001182</v>
      </c>
      <c r="G5" s="166" t="str">
        <f ca="1">IF(C5=$X$4,IF(ISERROR($V5),"Enter smelter details","RMI"),IF(ISERROR($V5),"",OFFSET('Smelter Look-up'!$F$4,$V5-4,0)))</f>
        <v>RMI</v>
      </c>
      <c r="H5" s="167">
        <f ca="1">IF(ISERROR($V5),"",OFFSET('Smelter Look-up'!$G$4,$V5-4,0))</f>
        <v>0</v>
      </c>
      <c r="I5" s="168" t="str">
        <f ca="1">IF(ISERROR($V5),"",OFFSET('Smelter Look-up'!$H$4,$V5-4,0))</f>
        <v>Paracas</v>
      </c>
      <c r="J5" s="168" t="str">
        <f ca="1">IF(ISERROR($V5),"",OFFSET('Smelter Look-up'!$I$4,$V5-4,0))</f>
        <v>Ika</v>
      </c>
      <c r="K5" s="207"/>
      <c r="L5" s="207"/>
      <c r="M5" s="207"/>
      <c r="N5" s="207"/>
      <c r="O5" s="207"/>
      <c r="P5" s="169"/>
      <c r="Q5" s="208"/>
      <c r="R5" s="166" t="str">
        <f ca="1">IF(ISERROR($V5),"",OFFSET('Smelter Look-up'!$C$4,$V5-4,0)&amp;"")</f>
        <v>Minsur</v>
      </c>
      <c r="S5" s="165" t="str">
        <f ca="1">IF(B5="","",IF(ISERROR(MATCH($E5,CL,0)),"Unknown",INDIRECT("'C'!$A$"&amp;MATCH($E5,CL,0)+1)))</f>
        <v>PE</v>
      </c>
      <c r="T5" s="165" t="str">
        <f ca="1">IF(B5="","",IF(ISERROR(MATCH($J5,SorP!$B$1:$B$6261,0)),"",INDIRECT("'SorP'!$A$"&amp;MATCH($S5&amp;$J5,SorP!C:C,0))))</f>
        <v>PE-ICA</v>
      </c>
      <c r="U5" s="185"/>
      <c r="V5" s="209">
        <f>IF(C5="",NA(),IF(OR(C5="Smelter not listed",C5="Smelter not yet identified"),MATCH($B5&amp;$D5,'Smelter Look-up'!$J:$J,0),MATCH($B5&amp;$C5,'Smelter Look-up'!$J:$J,0)))</f>
        <v>503</v>
      </c>
      <c r="X5" s="210">
        <f t="shared" ref="X5" ca="1" si="0">IF(AND(C5="Smelter not listed",OR(LEN(D5)=0,LEN(E5)=0)),1,0)</f>
        <v>0</v>
      </c>
      <c r="AB5" s="211" t="str">
        <f t="shared" ref="AB5" si="1">B5&amp;C5</f>
        <v>TinMinsur</v>
      </c>
    </row>
    <row r="6" spans="1:34" s="210" customFormat="1" ht="20.100000000000001" customHeight="1">
      <c r="A6" s="245"/>
      <c r="B6" s="166" t="s">
        <v>1088</v>
      </c>
      <c r="C6" s="170" t="s">
        <v>11981</v>
      </c>
      <c r="D6" s="213"/>
      <c r="E6" s="166" t="str">
        <f ca="1">IF(ISERROR($V6),"",OFFSET('Smelter Look-up'!$D$4,$V6-4,0)&amp;"")</f>
        <v>BRAZIL</v>
      </c>
      <c r="F6" s="166" t="str">
        <f ca="1">IF(ISERROR($V6),"",OFFSET('Smelter Look-up'!$E$4,$V6-4,0))</f>
        <v>CID001173</v>
      </c>
      <c r="G6" s="166" t="str">
        <f ca="1">IF(C6=$X$4,IF(ISERROR($V6),"Enter smelter details","RMI"),IF(ISERROR($V6),"",OFFSET('Smelter Look-up'!$F$4,$V6-4,0)))</f>
        <v>RMI</v>
      </c>
      <c r="H6" s="167">
        <f ca="1">IF(ISERROR($V6),"",OFFSET('Smelter Look-up'!$G$4,$V6-4,0))</f>
        <v>0</v>
      </c>
      <c r="I6" s="168" t="str">
        <f ca="1">IF(ISERROR($V6),"",OFFSET('Smelter Look-up'!$H$4,$V6-4,0))</f>
        <v>Pirapora de Bom Jesus</v>
      </c>
      <c r="J6" s="168" t="str">
        <f ca="1">IF(ISERROR($V6),"",OFFSET('Smelter Look-up'!$I$4,$V6-4,0))</f>
        <v>São Paulo</v>
      </c>
      <c r="K6" s="207"/>
      <c r="L6" s="207"/>
      <c r="M6" s="207"/>
      <c r="N6" s="207"/>
      <c r="O6" s="207"/>
      <c r="P6" s="169"/>
      <c r="Q6" s="208"/>
      <c r="R6" s="166" t="str">
        <f ca="1">IF(ISERROR($V6),"",OFFSET('Smelter Look-up'!$C$4,$V6-4,0)&amp;"")</f>
        <v>Mineracao Taboca S.A.</v>
      </c>
      <c r="S6" s="165" t="str">
        <f t="shared" ref="S6:S37" ca="1" si="2">IF(B6="","",IF(ISERROR(MATCH($E6,CL,0)),"Unknown",INDIRECT("'C'!$A$"&amp;MATCH($E6,CL,0)+1)))</f>
        <v>BR</v>
      </c>
      <c r="T6" s="165" t="str">
        <f ca="1">IF(B6="","",IF(ISERROR(MATCH($J6,SorP!$B$1:$B$6261,0)),"",INDIRECT("'SorP'!$A$"&amp;MATCH($S6&amp;$J6,SorP!C:C,0))))</f>
        <v>BR-SP</v>
      </c>
      <c r="U6" s="185"/>
      <c r="V6" s="209">
        <f>IF(C6="",NA(),IF(OR(C6="Smelter not listed",C6="Smelter not yet identified"),MATCH($B6&amp;$D6,'Smelter Look-up'!$J:$J,0),MATCH($B6&amp;$C6,'Smelter Look-up'!$J:$J,0)))</f>
        <v>498</v>
      </c>
      <c r="X6" s="210">
        <f t="shared" ref="X6:X37" ca="1" si="3">IF(AND(C6="Smelter not listed",OR(LEN(D6)=0,LEN(E6)=0)),1,0)</f>
        <v>0</v>
      </c>
      <c r="AB6" s="211" t="str">
        <f t="shared" ref="AB6:AB37" si="4">B6&amp;C6</f>
        <v>TinMineracao Taboca S.A.</v>
      </c>
    </row>
    <row r="7" spans="1:34" s="210" customFormat="1" ht="20.100000000000001" customHeight="1">
      <c r="A7" s="245"/>
      <c r="B7" s="166" t="s">
        <v>1088</v>
      </c>
      <c r="C7" s="170" t="s">
        <v>12472</v>
      </c>
      <c r="D7" s="213"/>
      <c r="E7" s="166" t="str">
        <f ca="1">IF(ISERROR($V7),"",OFFSET('Smelter Look-up'!$D$4,$V7-4,0)&amp;"")</f>
        <v>BELGIUM</v>
      </c>
      <c r="F7" s="166" t="str">
        <f ca="1">IF(ISERROR($V7),"",OFFSET('Smelter Look-up'!$E$4,$V7-4,0))</f>
        <v>CID002773</v>
      </c>
      <c r="G7" s="166" t="str">
        <f ca="1">IF(C7=$X$4,IF(ISERROR($V7),"Enter smelter details","RMI"),IF(ISERROR($V7),"",OFFSET('Smelter Look-up'!$F$4,$V7-4,0)))</f>
        <v>RMI</v>
      </c>
      <c r="H7" s="167">
        <f ca="1">IF(ISERROR($V7),"",OFFSET('Smelter Look-up'!$G$4,$V7-4,0))</f>
        <v>0</v>
      </c>
      <c r="I7" s="168" t="str">
        <f ca="1">IF(ISERROR($V7),"",OFFSET('Smelter Look-up'!$H$4,$V7-4,0))</f>
        <v>Beerse</v>
      </c>
      <c r="J7" s="168" t="str">
        <f ca="1">IF(ISERROR($V7),"",OFFSET('Smelter Look-up'!$I$4,$V7-4,0))</f>
        <v>Antwerpen</v>
      </c>
      <c r="K7" s="207"/>
      <c r="L7" s="207"/>
      <c r="M7" s="207"/>
      <c r="N7" s="207"/>
      <c r="O7" s="207"/>
      <c r="P7" s="169"/>
      <c r="Q7" s="208"/>
      <c r="R7" s="166" t="str">
        <f ca="1">IF(ISERROR($V7),"",OFFSET('Smelter Look-up'!$C$4,$V7-4,0)&amp;"")</f>
        <v>Aurubis Beerse</v>
      </c>
      <c r="S7" s="165" t="str">
        <f t="shared" ca="1" si="2"/>
        <v>BE</v>
      </c>
      <c r="T7" s="165" t="str">
        <f ca="1">IF(B7="","",IF(ISERROR(MATCH($J7,SorP!$B$1:$B$6261,0)),"",INDIRECT("'SorP'!$A$"&amp;MATCH($S7&amp;$J7,SorP!C:C,0))))</f>
        <v>BE-VAN</v>
      </c>
      <c r="U7" s="185"/>
      <c r="V7" s="209">
        <f>IF(C7="",NA(),IF(OR(C7="Smelter not listed",C7="Smelter not yet identified"),MATCH($B7&amp;$D7,'Smelter Look-up'!$J:$J,0),MATCH($B7&amp;$C7,'Smelter Look-up'!$J:$J,0)))</f>
        <v>496</v>
      </c>
      <c r="X7" s="210">
        <f t="shared" ca="1" si="3"/>
        <v>0</v>
      </c>
      <c r="AB7" s="211" t="str">
        <f t="shared" si="4"/>
        <v>TinMetallo Belgium N.V.</v>
      </c>
    </row>
    <row r="8" spans="1:34" s="210" customFormat="1" ht="20.100000000000001" customHeight="1">
      <c r="A8" s="245"/>
      <c r="B8" s="166" t="s">
        <v>1088</v>
      </c>
      <c r="C8" s="170" t="s">
        <v>778</v>
      </c>
      <c r="D8" s="213"/>
      <c r="E8" s="166" t="str">
        <f ca="1">IF(ISERROR($V8),"",OFFSET('Smelter Look-up'!$D$4,$V8-4,0)&amp;"")</f>
        <v>POLAND</v>
      </c>
      <c r="F8" s="166" t="str">
        <f ca="1">IF(ISERROR($V8),"",OFFSET('Smelter Look-up'!$E$4,$V8-4,0))</f>
        <v>CID000468</v>
      </c>
      <c r="G8" s="166" t="str">
        <f ca="1">IF(C8=$X$4,IF(ISERROR($V8),"Enter smelter details","RMI"),IF(ISERROR($V8),"",OFFSET('Smelter Look-up'!$F$4,$V8-4,0)))</f>
        <v>RMI</v>
      </c>
      <c r="H8" s="167">
        <f ca="1">IF(ISERROR($V8),"",OFFSET('Smelter Look-up'!$G$4,$V8-4,0))</f>
        <v>0</v>
      </c>
      <c r="I8" s="168" t="str">
        <f ca="1">IF(ISERROR($V8),"",OFFSET('Smelter Look-up'!$H$4,$V8-4,0))</f>
        <v>Chmielów</v>
      </c>
      <c r="J8" s="168" t="str">
        <f ca="1">IF(ISERROR($V8),"",OFFSET('Smelter Look-up'!$I$4,$V8-4,0))</f>
        <v>Podkarpackie</v>
      </c>
      <c r="K8" s="207"/>
      <c r="L8" s="207"/>
      <c r="M8" s="207"/>
      <c r="N8" s="207"/>
      <c r="O8" s="207"/>
      <c r="P8" s="169"/>
      <c r="Q8" s="208"/>
      <c r="R8" s="166" t="str">
        <f ca="1">IF(ISERROR($V8),"",OFFSET('Smelter Look-up'!$C$4,$V8-4,0)&amp;"")</f>
        <v>Fenix Metals</v>
      </c>
      <c r="S8" s="165" t="str">
        <f t="shared" ca="1" si="2"/>
        <v>PL</v>
      </c>
      <c r="T8" s="165" t="str">
        <f ca="1">IF(B8="","",IF(ISERROR(MATCH($J8,SorP!$B$1:$B$6261,0)),"",INDIRECT("'SorP'!$A$"&amp;MATCH($S8&amp;$J8,SorP!C:C,0))))</f>
        <v>PL-18</v>
      </c>
      <c r="U8" s="185"/>
      <c r="V8" s="209">
        <f>IF(C8="",NA(),IF(OR(C8="Smelter not listed",C8="Smelter not yet identified"),MATCH($B8&amp;$D8,'Smelter Look-up'!$J:$J,0),MATCH($B8&amp;$C8,'Smelter Look-up'!$J:$J,0)))</f>
        <v>462</v>
      </c>
      <c r="X8" s="210">
        <f t="shared" ca="1" si="3"/>
        <v>0</v>
      </c>
      <c r="AB8" s="211" t="str">
        <f t="shared" si="4"/>
        <v>TinFenix Metals</v>
      </c>
    </row>
    <row r="9" spans="1:34" s="210" customFormat="1" ht="20.100000000000001" customHeight="1">
      <c r="A9" s="245"/>
      <c r="B9" s="166" t="s">
        <v>1090</v>
      </c>
      <c r="C9" s="170" t="s">
        <v>1122</v>
      </c>
      <c r="D9" s="213"/>
      <c r="E9" s="166" t="str">
        <f ca="1">IF(ISERROR($V9),"",OFFSET('Smelter Look-up'!$D$4,$V9-4,0)&amp;"")</f>
        <v>UNITED STATES OF AMERICA</v>
      </c>
      <c r="F9" s="166" t="str">
        <f ca="1">IF(ISERROR($V9),"",OFFSET('Smelter Look-up'!$E$4,$V9-4,0))</f>
        <v>CID000105</v>
      </c>
      <c r="G9" s="166" t="str">
        <f ca="1">IF(C9=$X$4,IF(ISERROR($V9),"Enter smelter details","RMI"),IF(ISERROR($V9),"",OFFSET('Smelter Look-up'!$F$4,$V9-4,0)))</f>
        <v>RMI</v>
      </c>
      <c r="H9" s="167">
        <f ca="1">IF(ISERROR($V9),"",OFFSET('Smelter Look-up'!$G$4,$V9-4,0))</f>
        <v>0</v>
      </c>
      <c r="I9" s="168" t="str">
        <f ca="1">IF(ISERROR($V9),"",OFFSET('Smelter Look-up'!$H$4,$V9-4,0))</f>
        <v>Huntsville</v>
      </c>
      <c r="J9" s="168" t="str">
        <f ca="1">IF(ISERROR($V9),"",OFFSET('Smelter Look-up'!$I$4,$V9-4,0))</f>
        <v>Alabama</v>
      </c>
      <c r="K9" s="207"/>
      <c r="L9" s="207"/>
      <c r="M9" s="207"/>
      <c r="N9" s="207"/>
      <c r="O9" s="207"/>
      <c r="P9" s="169"/>
      <c r="Q9" s="208"/>
      <c r="R9" s="166" t="str">
        <f ca="1">IF(ISERROR($V9),"",OFFSET('Smelter Look-up'!$C$4,$V9-4,0)&amp;"")</f>
        <v>Kennametal Huntsville</v>
      </c>
      <c r="S9" s="165" t="str">
        <f t="shared" ca="1" si="2"/>
        <v>US</v>
      </c>
      <c r="T9" s="165" t="str">
        <f ca="1">IF(B9="","",IF(ISERROR(MATCH($J9,SorP!$B$1:$B$6261,0)),"",INDIRECT("'SorP'!$A$"&amp;MATCH($S9&amp;$J9,SorP!C:C,0))))</f>
        <v>US-AL</v>
      </c>
      <c r="U9" s="185"/>
      <c r="V9" s="209">
        <f>IF(C9="",NA(),IF(OR(C9="Smelter not listed",C9="Smelter not yet identified"),MATCH($B9&amp;$D9,'Smelter Look-up'!$J:$J,0),MATCH($B9&amp;$C9,'Smelter Look-up'!$J:$J,0)))</f>
        <v>582</v>
      </c>
      <c r="X9" s="210">
        <f t="shared" ca="1" si="3"/>
        <v>0</v>
      </c>
      <c r="AB9" s="211" t="str">
        <f t="shared" si="4"/>
        <v>TungstenATI Tungsten Materials</v>
      </c>
    </row>
    <row r="10" spans="1:34" s="210" customFormat="1" ht="20.100000000000001" customHeight="1">
      <c r="A10" s="245"/>
      <c r="B10" s="166" t="s">
        <v>1090</v>
      </c>
      <c r="C10" s="170" t="s">
        <v>13296</v>
      </c>
      <c r="D10" s="213"/>
      <c r="E10" s="166" t="str">
        <f ca="1">IF(ISERROR($V10),"",OFFSET('Smelter Look-up'!$D$4,$V10-4,0)&amp;"")</f>
        <v>JAPAN</v>
      </c>
      <c r="F10" s="166" t="str">
        <f ca="1">IF(ISERROR($V10),"",OFFSET('Smelter Look-up'!$E$4,$V10-4,0))</f>
        <v>CID000004</v>
      </c>
      <c r="G10" s="166" t="str">
        <f ca="1">IF(C10=$X$4,IF(ISERROR($V10),"Enter smelter details","RMI"),IF(ISERROR($V10),"",OFFSET('Smelter Look-up'!$F$4,$V10-4,0)))</f>
        <v>RMI</v>
      </c>
      <c r="H10" s="167">
        <f ca="1">IF(ISERROR($V10),"",OFFSET('Smelter Look-up'!$G$4,$V10-4,0))</f>
        <v>0</v>
      </c>
      <c r="I10" s="168" t="str">
        <f ca="1">IF(ISERROR($V10),"",OFFSET('Smelter Look-up'!$H$4,$V10-4,0))</f>
        <v>Toyama City</v>
      </c>
      <c r="J10" s="168" t="str">
        <f ca="1">IF(ISERROR($V10),"",OFFSET('Smelter Look-up'!$I$4,$V10-4,0))</f>
        <v>Toyama</v>
      </c>
      <c r="K10" s="207"/>
      <c r="L10" s="207"/>
      <c r="M10" s="207"/>
      <c r="N10" s="207"/>
      <c r="O10" s="207"/>
      <c r="P10" s="169"/>
      <c r="Q10" s="208"/>
      <c r="R10" s="166" t="str">
        <f ca="1">IF(ISERROR($V10),"",OFFSET('Smelter Look-up'!$C$4,$V10-4,0)&amp;"")</f>
        <v>A.L.M.T. Corp.</v>
      </c>
      <c r="S10" s="165" t="str">
        <f t="shared" ca="1" si="2"/>
        <v>JP</v>
      </c>
      <c r="T10" s="165" t="str">
        <f ca="1">IF(B10="","",IF(ISERROR(MATCH($J10,SorP!$B$1:$B$6261,0)),"",INDIRECT("'SorP'!$A$"&amp;MATCH($S10&amp;$J10,SorP!C:C,0))))</f>
        <v>JP-16</v>
      </c>
      <c r="U10" s="185"/>
      <c r="V10" s="209">
        <f>IF(C10="",NA(),IF(OR(C10="Smelter not listed",C10="Smelter not yet identified"),MATCH($B10&amp;$D10,'Smelter Look-up'!$J:$J,0),MATCH($B10&amp;$C10,'Smelter Look-up'!$J:$J,0)))</f>
        <v>574</v>
      </c>
      <c r="X10" s="210">
        <f t="shared" ca="1" si="3"/>
        <v>0</v>
      </c>
      <c r="AB10" s="211" t="str">
        <f t="shared" si="4"/>
        <v>TungstenA.L.M.T. Corp.</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Titanium Industries, Inc.</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t="str">
        <f>Declaration!D10</f>
        <v>Metals distributor, titanium, stainless steel, nickel base alloys, aluminum and specialty steels.</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Carmela Collazos</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ccollazos@titanium.com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973-983-6226</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Carmela Collazos</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ccollazos@titanium.com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46143</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Unknown</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Tungsten  (*)</v>
      </c>
      <c r="B27" s="86" t="str">
        <f>IF(AND($B$17="Yes",$B$22="Yes"),Declaration!D41,0)</f>
        <v>Unknown</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Tungsten  (*)</v>
      </c>
      <c r="B32" s="86" t="str">
        <f>IF(AND($B$17="Yes",$B$22="Yes"),Declaration!D47,0)</f>
        <v>No</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Yes</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Tungsten  (*)</v>
      </c>
      <c r="B37" s="86" t="str">
        <f>IF(AND($B$17="Yes",$B$22="Yes"),Declaration!D53,0)</f>
        <v>Yes</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50% or less</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Tungsten  (*)</v>
      </c>
      <c r="B42" s="251" t="str">
        <f>IF(AND($B$17="Yes",$B$22="Yes"),Declaration!D59,0)</f>
        <v>50% or less</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No</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No</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No</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No</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No</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No</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No</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1</v>
      </c>
      <c r="G68" s="67">
        <f>IF(AND(COUNTIF(SmelterIdetifiedForMetal,"Tungsten")&gt;0,COUNTIF('Smelter List'!AB$5:AB$2504,"Tungsten?*")&gt;0),0,1)</f>
        <v>0</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13.75">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30">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dcmitype/"/>
    <ds:schemaRef ds:uri="http://schemas.microsoft.com/office/2006/documentManagement/types"/>
    <ds:schemaRef ds:uri="a54701f6-876b-4337-a24e-543e1bd311e6"/>
    <ds:schemaRef ds:uri="http://schemas.microsoft.com/office/2006/metadata/properties"/>
    <ds:schemaRef ds:uri="http://schemas.microsoft.com/office/infopath/2007/PartnerControls"/>
    <ds:schemaRef ds:uri="http://purl.org/dc/terms/"/>
    <ds:schemaRef ds:uri="http://www.w3.org/XML/1998/namespace"/>
    <ds:schemaRef ds:uri="http://schemas.openxmlformats.org/package/2006/metadata/core-properties"/>
    <ds:schemaRef ds:uri="6e8a5f3d-031c-4996-804e-0e28298fe1e2"/>
    <ds:schemaRef ds:uri="http://purl.org/dc/elements/1.1/"/>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Carmela Collazos</cp:lastModifiedBy>
  <cp:lastPrinted>2015-04-21T20:47:43Z</cp:lastPrinted>
  <dcterms:created xsi:type="dcterms:W3CDTF">2010-06-21T21:00:23Z</dcterms:created>
  <dcterms:modified xsi:type="dcterms:W3CDTF">2026-05-07T14:02:12Z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